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6 DUONG HAO\DU TOAN NAM 2026\dieu chinh DT sang TYT và QS\ban giao sang 2 phong\chuan\ban giao chuan 23.9.2026\doi ngay 30.9.2026\"/>
    </mc:Choice>
  </mc:AlternateContent>
  <bookViews>
    <workbookView xWindow="0" yWindow="0" windowWidth="23970" windowHeight="9270" activeTab="3"/>
  </bookViews>
  <sheets>
    <sheet name="Văn phòng " sheetId="1" r:id="rId1"/>
    <sheet name="to trinh" sheetId="8" r:id="rId2"/>
    <sheet name="công an " sheetId="7" state="hidden" r:id="rId3"/>
    <sheet name="phòng văn hoá" sheetId="2" r:id="rId4"/>
    <sheet name="phòng kinh tế" sheetId="3" r:id="rId5"/>
    <sheet name="1" sheetId="5" state="hidden" r:id="rId6"/>
    <sheet name="2" sheetId="4" state="hidden" r:id="rId7"/>
    <sheet name="3" sheetId="6" state="hidden" r:id="rId8"/>
  </sheets>
  <externalReferences>
    <externalReference r:id="rId9"/>
    <externalReference r:id="rId10"/>
    <externalReference r:id="rId11"/>
    <externalReference r:id="rId12"/>
    <externalReference r:id="rId13"/>
  </externalReferences>
  <definedNames>
    <definedName name="_xlnm._FilterDatabase" localSheetId="4" hidden="1">'phòng kinh tế'!$D$1:$D$78</definedName>
    <definedName name="_xlnm._FilterDatabase" localSheetId="3" hidden="1">'phòng văn hoá'!$D$1:$D$121</definedName>
    <definedName name="_xlnm._FilterDatabase" localSheetId="0" hidden="1">'Văn phòng '!$D$1:$D$164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X22" i="3" l="1"/>
  <c r="S23" i="3"/>
  <c r="S39" i="3" l="1"/>
  <c r="AA91" i="2" l="1"/>
  <c r="AA92" i="2"/>
  <c r="AA88" i="2"/>
  <c r="G88" i="2"/>
  <c r="AD35" i="3"/>
  <c r="AC35" i="3" l="1"/>
  <c r="G32" i="3"/>
  <c r="G36" i="3"/>
  <c r="G35" i="3"/>
  <c r="G34" i="3"/>
  <c r="G33" i="3"/>
  <c r="I32" i="3"/>
  <c r="I67" i="2" l="1"/>
  <c r="G67" i="2" s="1"/>
  <c r="G18" i="2"/>
  <c r="AC8" i="2" l="1"/>
  <c r="AA8" i="2"/>
  <c r="G8" i="2"/>
  <c r="H11" i="2"/>
  <c r="G11" i="2"/>
  <c r="AA11" i="2" s="1"/>
  <c r="AA10" i="2"/>
  <c r="AA12" i="2"/>
  <c r="AA13" i="2"/>
  <c r="AA14" i="2"/>
  <c r="AA15" i="2"/>
  <c r="AA16" i="2"/>
  <c r="AA9" i="2"/>
  <c r="V8" i="2"/>
  <c r="V9" i="2"/>
  <c r="X32" i="3" l="1"/>
  <c r="Y39" i="3" l="1"/>
  <c r="T46" i="3"/>
  <c r="U38" i="2"/>
  <c r="U36" i="2"/>
  <c r="T95" i="2"/>
  <c r="T12" i="2"/>
  <c r="V15" i="2"/>
  <c r="T15" i="2"/>
  <c r="V16" i="2"/>
  <c r="T16" i="2"/>
  <c r="T14" i="2"/>
  <c r="T13" i="2"/>
  <c r="T11" i="2"/>
  <c r="V11" i="2"/>
  <c r="T9" i="2"/>
  <c r="U32" i="3"/>
  <c r="S36" i="3"/>
  <c r="X36" i="3" s="1"/>
  <c r="U36" i="3"/>
  <c r="S35" i="3"/>
  <c r="U34" i="3"/>
  <c r="S34" i="3"/>
  <c r="T17" i="2"/>
  <c r="V114" i="2" l="1"/>
  <c r="F22" i="3" l="1"/>
  <c r="H7" i="3" l="1"/>
  <c r="G9" i="3"/>
  <c r="G11" i="3"/>
  <c r="G12" i="3"/>
  <c r="G14" i="3"/>
  <c r="G17" i="3"/>
  <c r="G22" i="3"/>
  <c r="G29" i="3"/>
  <c r="G30" i="3"/>
  <c r="G38" i="3"/>
  <c r="G39" i="3"/>
  <c r="G47" i="3"/>
  <c r="G56" i="3"/>
  <c r="G57" i="3"/>
  <c r="G58" i="3"/>
  <c r="G59" i="3"/>
  <c r="G60" i="3"/>
  <c r="G61" i="3"/>
  <c r="G63" i="3"/>
  <c r="G65" i="3"/>
  <c r="G68" i="3"/>
  <c r="G75" i="3"/>
  <c r="G78" i="3"/>
  <c r="G20" i="2"/>
  <c r="G24" i="2"/>
  <c r="G25" i="2"/>
  <c r="G26" i="2"/>
  <c r="G27" i="2"/>
  <c r="G28" i="2"/>
  <c r="G31" i="2"/>
  <c r="G32" i="2"/>
  <c r="G33" i="2"/>
  <c r="G34" i="2"/>
  <c r="G35" i="2"/>
  <c r="G36" i="2"/>
  <c r="G37" i="2"/>
  <c r="G38" i="2"/>
  <c r="G40" i="2"/>
  <c r="G41" i="2"/>
  <c r="G42" i="2"/>
  <c r="G43" i="2"/>
  <c r="G44" i="2"/>
  <c r="G45" i="2"/>
  <c r="G49" i="2"/>
  <c r="G50" i="2"/>
  <c r="G51" i="2"/>
  <c r="G52" i="2"/>
  <c r="G54" i="2"/>
  <c r="G55" i="2"/>
  <c r="G56" i="2"/>
  <c r="G63" i="2"/>
  <c r="G64" i="2"/>
  <c r="G65" i="2"/>
  <c r="G69" i="2"/>
  <c r="G71" i="2"/>
  <c r="G74" i="2"/>
  <c r="G75" i="2"/>
  <c r="G76" i="2"/>
  <c r="G77" i="2"/>
  <c r="G79" i="2"/>
  <c r="G80" i="2"/>
  <c r="G82" i="2"/>
  <c r="G84" i="2"/>
  <c r="G85" i="2"/>
  <c r="G86" i="2"/>
  <c r="G87" i="2"/>
  <c r="G89" i="2"/>
  <c r="G90" i="2"/>
  <c r="G93" i="2"/>
  <c r="G94" i="2"/>
  <c r="G95" i="2"/>
  <c r="G98" i="2"/>
  <c r="G99" i="2"/>
  <c r="G100" i="2"/>
  <c r="G101" i="2"/>
  <c r="G102" i="2"/>
  <c r="G103" i="2"/>
  <c r="G104" i="2"/>
  <c r="G105" i="2"/>
  <c r="G112" i="2"/>
  <c r="G113" i="2"/>
  <c r="G116" i="2"/>
  <c r="G119" i="2"/>
  <c r="G122" i="2"/>
  <c r="H7" i="2"/>
  <c r="R7" i="2"/>
  <c r="Q9" i="2"/>
  <c r="Q10" i="2"/>
  <c r="Q11" i="2"/>
  <c r="Q12" i="2"/>
  <c r="Q13" i="2"/>
  <c r="Q14" i="2"/>
  <c r="Q15" i="2"/>
  <c r="Q16" i="2"/>
  <c r="Q17" i="2"/>
  <c r="Q19" i="2"/>
  <c r="Q20" i="2"/>
  <c r="Q21" i="2"/>
  <c r="Q22" i="2"/>
  <c r="Q23" i="2"/>
  <c r="Q24" i="2"/>
  <c r="Q25" i="2"/>
  <c r="Q26" i="2"/>
  <c r="Q27" i="2"/>
  <c r="Q28" i="2"/>
  <c r="Q30" i="2"/>
  <c r="Q31" i="2"/>
  <c r="Q32" i="2"/>
  <c r="Q33" i="2"/>
  <c r="Q34" i="2"/>
  <c r="Q35" i="2"/>
  <c r="Q36" i="2"/>
  <c r="Q37" i="2"/>
  <c r="Q38" i="2"/>
  <c r="Q39" i="2"/>
  <c r="Q40" i="2"/>
  <c r="Q41" i="2"/>
  <c r="Q42" i="2"/>
  <c r="Q43" i="2"/>
  <c r="Q44" i="2"/>
  <c r="Q45" i="2"/>
  <c r="Q47" i="2"/>
  <c r="Q48" i="2"/>
  <c r="Q49" i="2"/>
  <c r="Q50" i="2"/>
  <c r="Q51" i="2"/>
  <c r="Q52" i="2"/>
  <c r="Q53" i="2"/>
  <c r="Q54" i="2"/>
  <c r="Q55" i="2"/>
  <c r="Q56" i="2"/>
  <c r="Q57" i="2"/>
  <c r="Q58" i="2"/>
  <c r="Q59" i="2"/>
  <c r="Q60" i="2"/>
  <c r="Q61" i="2"/>
  <c r="Q62" i="2"/>
  <c r="Q63" i="2"/>
  <c r="Q64" i="2"/>
  <c r="Q65" i="2"/>
  <c r="Q66" i="2"/>
  <c r="Q68" i="2"/>
  <c r="Q69" i="2"/>
  <c r="Q70" i="2"/>
  <c r="Q71" i="2"/>
  <c r="Q72" i="2"/>
  <c r="Q73" i="2"/>
  <c r="Q74" i="2"/>
  <c r="Q75" i="2"/>
  <c r="Q76" i="2"/>
  <c r="Q77" i="2"/>
  <c r="Q78" i="2"/>
  <c r="Q79" i="2"/>
  <c r="Q80" i="2"/>
  <c r="Q81" i="2"/>
  <c r="Q82" i="2"/>
  <c r="Q83" i="2"/>
  <c r="Q84" i="2"/>
  <c r="Q85" i="2"/>
  <c r="Q86" i="2"/>
  <c r="Q87" i="2"/>
  <c r="Q88" i="2"/>
  <c r="Q89" i="2"/>
  <c r="Q90" i="2"/>
  <c r="Q91" i="2"/>
  <c r="Q92" i="2"/>
  <c r="Q93" i="2"/>
  <c r="Q94" i="2"/>
  <c r="Q95" i="2"/>
  <c r="Q96" i="2"/>
  <c r="Q97" i="2"/>
  <c r="Q98" i="2"/>
  <c r="Q99" i="2"/>
  <c r="Q100" i="2"/>
  <c r="Q101" i="2"/>
  <c r="Q102" i="2"/>
  <c r="Q103" i="2"/>
  <c r="Q104" i="2"/>
  <c r="Q105" i="2"/>
  <c r="Q106" i="2"/>
  <c r="Q107" i="2"/>
  <c r="Q108" i="2"/>
  <c r="Q110" i="2"/>
  <c r="Q111" i="2"/>
  <c r="Q112" i="2"/>
  <c r="Q113" i="2"/>
  <c r="Q115" i="2"/>
  <c r="Q117" i="2"/>
  <c r="Q118" i="2"/>
  <c r="Q119" i="2"/>
  <c r="Q120" i="2"/>
  <c r="Q121" i="2"/>
  <c r="Q123" i="2"/>
  <c r="Y135" i="1"/>
  <c r="Y136" i="1"/>
  <c r="Y137" i="1"/>
  <c r="Y134" i="1"/>
  <c r="W82" i="1"/>
  <c r="Y72" i="1"/>
  <c r="W72" i="1"/>
  <c r="X69" i="1"/>
  <c r="W69" i="1"/>
  <c r="W68" i="1"/>
  <c r="W40" i="1"/>
  <c r="R40" i="1"/>
  <c r="T40" i="1"/>
  <c r="U40" i="1"/>
  <c r="V40" i="1"/>
  <c r="AA40" i="1"/>
  <c r="Y40" i="1"/>
  <c r="N40" i="1"/>
  <c r="I40" i="1"/>
  <c r="K7" i="1"/>
  <c r="J8" i="1"/>
  <c r="X7" i="1"/>
  <c r="S7" i="1"/>
  <c r="W14" i="1"/>
  <c r="W13" i="1"/>
  <c r="G13" i="1"/>
  <c r="R7" i="1"/>
  <c r="S9" i="1"/>
  <c r="S10" i="1"/>
  <c r="S11" i="1"/>
  <c r="S12" i="1"/>
  <c r="S8" i="1"/>
  <c r="R8" i="1"/>
  <c r="G8" i="1"/>
  <c r="K8" i="1"/>
  <c r="I134" i="1" l="1"/>
  <c r="I135" i="1"/>
  <c r="I136" i="1"/>
  <c r="I137" i="1"/>
  <c r="O135" i="1"/>
  <c r="O136" i="1"/>
  <c r="O137" i="1"/>
  <c r="O134" i="1"/>
  <c r="O138" i="1"/>
  <c r="I15" i="1"/>
  <c r="T7" i="1"/>
  <c r="U7" i="1"/>
  <c r="V7" i="1"/>
  <c r="Z7" i="1"/>
  <c r="AA7" i="1"/>
  <c r="H7" i="1"/>
  <c r="I132" i="1"/>
  <c r="I107" i="1"/>
  <c r="I106" i="1"/>
  <c r="K20" i="1"/>
  <c r="J20" i="1"/>
  <c r="N25" i="8" l="1"/>
  <c r="Y82" i="3"/>
  <c r="N22" i="8"/>
  <c r="S29" i="3"/>
  <c r="M7" i="3"/>
  <c r="N7" i="3"/>
  <c r="O7" i="3"/>
  <c r="P7" i="3"/>
  <c r="Q7" i="3"/>
  <c r="R7" i="3"/>
  <c r="V7" i="3"/>
  <c r="W7" i="3"/>
  <c r="AA7" i="3"/>
  <c r="AB7" i="3"/>
  <c r="L56" i="3"/>
  <c r="L59" i="3"/>
  <c r="L32" i="3"/>
  <c r="L29" i="3"/>
  <c r="L11" i="3"/>
  <c r="I59" i="3"/>
  <c r="L15" i="8"/>
  <c r="K32" i="2"/>
  <c r="I123" i="2"/>
  <c r="G123" i="2" s="1"/>
  <c r="G6" i="8"/>
  <c r="H6" i="8"/>
  <c r="I6" i="8"/>
  <c r="J6" i="8"/>
  <c r="D19" i="8"/>
  <c r="E19" i="8"/>
  <c r="F19" i="8"/>
  <c r="G19" i="8"/>
  <c r="H19" i="8"/>
  <c r="I19" i="8"/>
  <c r="J19" i="8"/>
  <c r="L19" i="8"/>
  <c r="M19" i="8"/>
  <c r="P19" i="8"/>
  <c r="Q19" i="8"/>
  <c r="R19" i="8"/>
  <c r="S19" i="8"/>
  <c r="L33" i="8"/>
  <c r="C32" i="8"/>
  <c r="N32" i="8" s="1"/>
  <c r="C33" i="8"/>
  <c r="O31" i="8"/>
  <c r="C31" i="8"/>
  <c r="N31" i="8" s="1"/>
  <c r="T22" i="8"/>
  <c r="T19" i="8" s="1"/>
  <c r="T23" i="8"/>
  <c r="C30" i="8"/>
  <c r="N30" i="8" s="1"/>
  <c r="O30" i="8" s="1"/>
  <c r="K29" i="8"/>
  <c r="T29" i="8"/>
  <c r="T30" i="8"/>
  <c r="T31" i="8"/>
  <c r="T32" i="8"/>
  <c r="T33" i="8"/>
  <c r="O28" i="8"/>
  <c r="T28" i="8"/>
  <c r="T27" i="8"/>
  <c r="T21" i="8"/>
  <c r="P21" i="8"/>
  <c r="T26" i="8"/>
  <c r="O26" i="8"/>
  <c r="N33" i="8"/>
  <c r="O33" i="8" s="1"/>
  <c r="T25" i="8"/>
  <c r="T24" i="8"/>
  <c r="O24" i="8"/>
  <c r="C21" i="8"/>
  <c r="N21" i="8" s="1"/>
  <c r="C22" i="8"/>
  <c r="C23" i="8"/>
  <c r="N23" i="8" s="1"/>
  <c r="C24" i="8"/>
  <c r="N24" i="8" s="1"/>
  <c r="C25" i="8"/>
  <c r="C26" i="8"/>
  <c r="N26" i="8" s="1"/>
  <c r="C27" i="8"/>
  <c r="N27" i="8" s="1"/>
  <c r="C28" i="8"/>
  <c r="N28" i="8" s="1"/>
  <c r="C29" i="8"/>
  <c r="N29" i="8" s="1"/>
  <c r="O29" i="8" s="1"/>
  <c r="O19" i="8" s="1"/>
  <c r="O6" i="8" s="1"/>
  <c r="T20" i="8"/>
  <c r="C20" i="8"/>
  <c r="N20" i="8" s="1"/>
  <c r="E7" i="8"/>
  <c r="E6" i="8" s="1"/>
  <c r="F7" i="8"/>
  <c r="F6" i="8" s="1"/>
  <c r="G7" i="8"/>
  <c r="H7" i="8"/>
  <c r="I7" i="8"/>
  <c r="J7" i="8"/>
  <c r="L7" i="8"/>
  <c r="L6" i="8" s="1"/>
  <c r="M7" i="8"/>
  <c r="M6" i="8" s="1"/>
  <c r="S7" i="8"/>
  <c r="S6" i="8" s="1"/>
  <c r="T7" i="8"/>
  <c r="T6" i="8" s="1"/>
  <c r="K18" i="8"/>
  <c r="C18" i="8"/>
  <c r="N18" i="8" s="1"/>
  <c r="Q18" i="8" s="1"/>
  <c r="Q7" i="8" s="1"/>
  <c r="Q6" i="8" s="1"/>
  <c r="K17" i="8"/>
  <c r="C17" i="8"/>
  <c r="N19" i="8" l="1"/>
  <c r="C19" i="8"/>
  <c r="K31" i="8"/>
  <c r="K7" i="8"/>
  <c r="K6" i="8" s="1"/>
  <c r="K23" i="8"/>
  <c r="K27" i="8"/>
  <c r="C15" i="8"/>
  <c r="C14" i="8"/>
  <c r="N14" i="8" s="1"/>
  <c r="D12" i="8"/>
  <c r="N17" i="8"/>
  <c r="R17" i="8" s="1"/>
  <c r="R7" i="8" s="1"/>
  <c r="R6" i="8" s="1"/>
  <c r="C10" i="8"/>
  <c r="N10" i="8" s="1"/>
  <c r="D9" i="8"/>
  <c r="C9" i="8" s="1"/>
  <c r="N9" i="8" s="1"/>
  <c r="O9" i="8" s="1"/>
  <c r="D11" i="8"/>
  <c r="C11" i="8" s="1"/>
  <c r="N11" i="8" s="1"/>
  <c r="O11" i="8" s="1"/>
  <c r="D13" i="8"/>
  <c r="C13" i="8" s="1"/>
  <c r="O13" i="8" s="1"/>
  <c r="C16" i="8"/>
  <c r="D8" i="8"/>
  <c r="K19" i="8" l="1"/>
  <c r="D7" i="8"/>
  <c r="D6" i="8" s="1"/>
  <c r="C8" i="8"/>
  <c r="N8" i="8" s="1"/>
  <c r="N16" i="8"/>
  <c r="N15" i="8"/>
  <c r="P7" i="8" s="1"/>
  <c r="P6" i="8" s="1"/>
  <c r="N13" i="8"/>
  <c r="S122" i="2"/>
  <c r="T122" i="2" l="1"/>
  <c r="V122" i="2" s="1"/>
  <c r="Q122" i="2"/>
  <c r="O8" i="8"/>
  <c r="T106" i="1"/>
  <c r="T106" i="2" l="1"/>
  <c r="Y138" i="1"/>
  <c r="W138" i="1"/>
  <c r="I138" i="1"/>
  <c r="L13" i="1" l="1"/>
  <c r="M13" i="1"/>
  <c r="P13" i="1"/>
  <c r="Q13" i="1"/>
  <c r="R13" i="1"/>
  <c r="S13" i="1"/>
  <c r="T13" i="1"/>
  <c r="U13" i="1"/>
  <c r="V13" i="1"/>
  <c r="Z13" i="1"/>
  <c r="N14" i="1"/>
  <c r="AA14" i="1" s="1"/>
  <c r="AA13" i="1" s="1"/>
  <c r="O14" i="1"/>
  <c r="O13" i="1" s="1"/>
  <c r="S37" i="1"/>
  <c r="S47" i="3"/>
  <c r="T48" i="3"/>
  <c r="R25" i="1"/>
  <c r="AB67" i="2"/>
  <c r="Y120" i="1"/>
  <c r="Y121" i="1"/>
  <c r="X127" i="1"/>
  <c r="W131" i="1"/>
  <c r="Y131" i="1" s="1"/>
  <c r="W130" i="1"/>
  <c r="Y130" i="1" s="1"/>
  <c r="W129" i="1"/>
  <c r="Y129" i="1" s="1"/>
  <c r="N13" i="1" l="1"/>
  <c r="K14" i="1"/>
  <c r="R22" i="1"/>
  <c r="R109" i="1"/>
  <c r="S108" i="1"/>
  <c r="R108" i="1" s="1"/>
  <c r="K21" i="1"/>
  <c r="X119" i="1"/>
  <c r="W119" i="1" s="1"/>
  <c r="X14" i="1" l="1"/>
  <c r="K13" i="1"/>
  <c r="J13" i="1" s="1"/>
  <c r="I13" i="1" s="1"/>
  <c r="J14" i="1"/>
  <c r="I14" i="1" s="1"/>
  <c r="W120" i="1"/>
  <c r="W121" i="1"/>
  <c r="W136" i="1"/>
  <c r="W135" i="1"/>
  <c r="W134" i="1"/>
  <c r="W15" i="1"/>
  <c r="Y16" i="1"/>
  <c r="W16" i="1" s="1"/>
  <c r="Y17" i="1"/>
  <c r="W17" i="1" s="1"/>
  <c r="Y18" i="1"/>
  <c r="W18" i="1" s="1"/>
  <c r="Y19" i="1"/>
  <c r="W19" i="1" s="1"/>
  <c r="Y20" i="1"/>
  <c r="Y21" i="1"/>
  <c r="Y22" i="1"/>
  <c r="W22" i="1" s="1"/>
  <c r="Y23" i="1"/>
  <c r="W23" i="1" s="1"/>
  <c r="Y24" i="1"/>
  <c r="W24" i="1" s="1"/>
  <c r="Y25" i="1"/>
  <c r="W25" i="1" s="1"/>
  <c r="Y26" i="1"/>
  <c r="W26" i="1" s="1"/>
  <c r="Y27" i="1"/>
  <c r="W27" i="1" s="1"/>
  <c r="Y28" i="1"/>
  <c r="W28" i="1" s="1"/>
  <c r="Y29" i="1"/>
  <c r="W29" i="1" s="1"/>
  <c r="Y30" i="1"/>
  <c r="Y31" i="1"/>
  <c r="W31" i="1" s="1"/>
  <c r="Y32" i="1"/>
  <c r="W32" i="1" s="1"/>
  <c r="Y33" i="1"/>
  <c r="W33" i="1" s="1"/>
  <c r="Y34" i="1"/>
  <c r="W34" i="1" s="1"/>
  <c r="Y35" i="1"/>
  <c r="W35" i="1" s="1"/>
  <c r="Y36" i="1"/>
  <c r="W36" i="1" s="1"/>
  <c r="Y37" i="1"/>
  <c r="W37" i="1" s="1"/>
  <c r="Y38" i="1"/>
  <c r="W38" i="1" s="1"/>
  <c r="Y39" i="1"/>
  <c r="W39" i="1" s="1"/>
  <c r="Y42" i="1"/>
  <c r="W42" i="1" s="1"/>
  <c r="Y43" i="1"/>
  <c r="W43" i="1" s="1"/>
  <c r="Y44" i="1"/>
  <c r="W44" i="1" s="1"/>
  <c r="Y45" i="1"/>
  <c r="W45" i="1" s="1"/>
  <c r="Y47" i="1"/>
  <c r="W47" i="1" s="1"/>
  <c r="Y49" i="1"/>
  <c r="W49" i="1" s="1"/>
  <c r="Y51" i="1"/>
  <c r="W51" i="1" s="1"/>
  <c r="Y52" i="1"/>
  <c r="W52" i="1" s="1"/>
  <c r="Y53" i="1"/>
  <c r="W53" i="1" s="1"/>
  <c r="Y54" i="1"/>
  <c r="W54" i="1" s="1"/>
  <c r="Y55" i="1"/>
  <c r="W55" i="1" s="1"/>
  <c r="Y59" i="1"/>
  <c r="W59" i="1" s="1"/>
  <c r="Y60" i="1"/>
  <c r="W60" i="1" s="1"/>
  <c r="Y61" i="1"/>
  <c r="W61" i="1" s="1"/>
  <c r="Y62" i="1"/>
  <c r="W62" i="1" s="1"/>
  <c r="Y63" i="1"/>
  <c r="W63" i="1" s="1"/>
  <c r="Y66" i="1"/>
  <c r="W66" i="1" s="1"/>
  <c r="Y69" i="1"/>
  <c r="Y70" i="1"/>
  <c r="W70" i="1" s="1"/>
  <c r="Y71" i="1"/>
  <c r="W71" i="1" s="1"/>
  <c r="Y73" i="1"/>
  <c r="W73" i="1" s="1"/>
  <c r="Y75" i="1"/>
  <c r="W75" i="1" s="1"/>
  <c r="Y76" i="1"/>
  <c r="W76" i="1" s="1"/>
  <c r="Y77" i="1"/>
  <c r="Y78" i="1"/>
  <c r="W78" i="1" s="1"/>
  <c r="Y79" i="1"/>
  <c r="W79" i="1" s="1"/>
  <c r="Y80" i="1"/>
  <c r="W80" i="1" s="1"/>
  <c r="Y81" i="1"/>
  <c r="W81" i="1" s="1"/>
  <c r="Y83" i="1"/>
  <c r="W83" i="1" s="1"/>
  <c r="Y84" i="1"/>
  <c r="W84" i="1" s="1"/>
  <c r="Y86" i="1"/>
  <c r="W86" i="1" s="1"/>
  <c r="Y87" i="1"/>
  <c r="W87" i="1" s="1"/>
  <c r="Y89" i="1"/>
  <c r="W89" i="1" s="1"/>
  <c r="Y90" i="1"/>
  <c r="W90" i="1" s="1"/>
  <c r="Y91" i="1"/>
  <c r="W91" i="1" s="1"/>
  <c r="Y92" i="1"/>
  <c r="W92" i="1" s="1"/>
  <c r="Y93" i="1"/>
  <c r="W93" i="1" s="1"/>
  <c r="Y94" i="1"/>
  <c r="W94" i="1" s="1"/>
  <c r="Y95" i="1"/>
  <c r="W95" i="1" s="1"/>
  <c r="Y96" i="1"/>
  <c r="W96" i="1" s="1"/>
  <c r="Y97" i="1"/>
  <c r="W97" i="1" s="1"/>
  <c r="Y98" i="1"/>
  <c r="W98" i="1" s="1"/>
  <c r="Y99" i="1"/>
  <c r="W99" i="1" s="1"/>
  <c r="Y100" i="1"/>
  <c r="W100" i="1" s="1"/>
  <c r="Y101" i="1"/>
  <c r="W101" i="1" s="1"/>
  <c r="Y102" i="1"/>
  <c r="W102" i="1" s="1"/>
  <c r="Y104" i="1"/>
  <c r="W104" i="1" s="1"/>
  <c r="Y105" i="1"/>
  <c r="W105" i="1" s="1"/>
  <c r="Y106" i="1"/>
  <c r="W106" i="1" s="1"/>
  <c r="Y107" i="1"/>
  <c r="Y108" i="1"/>
  <c r="W108" i="1" s="1"/>
  <c r="Y109" i="1"/>
  <c r="W109" i="1" s="1"/>
  <c r="Y110" i="1"/>
  <c r="W110" i="1" s="1"/>
  <c r="Y111" i="1"/>
  <c r="W111" i="1" s="1"/>
  <c r="Y112" i="1"/>
  <c r="W112" i="1" s="1"/>
  <c r="Y114" i="1"/>
  <c r="W114" i="1" s="1"/>
  <c r="Y116" i="1"/>
  <c r="W116" i="1" s="1"/>
  <c r="Y117" i="1"/>
  <c r="W117" i="1" s="1"/>
  <c r="Y118" i="1"/>
  <c r="W118" i="1" s="1"/>
  <c r="Y119" i="1"/>
  <c r="Y132" i="1"/>
  <c r="W132" i="1" s="1"/>
  <c r="Y133" i="1"/>
  <c r="W137" i="1" l="1"/>
  <c r="X13" i="1"/>
  <c r="R132" i="1"/>
  <c r="T132" i="1" s="1"/>
  <c r="R80" i="1"/>
  <c r="R81" i="1"/>
  <c r="T87" i="1"/>
  <c r="R34" i="1"/>
  <c r="R24" i="1"/>
  <c r="R26" i="1"/>
  <c r="R23" i="1"/>
  <c r="AB21" i="1" l="1"/>
  <c r="AB134" i="1"/>
  <c r="AB136" i="1" s="1"/>
  <c r="R112" i="1"/>
  <c r="T72" i="1"/>
  <c r="R73" i="1"/>
  <c r="R72" i="1" s="1"/>
  <c r="R47" i="1" l="1"/>
  <c r="S22" i="3"/>
  <c r="U23" i="3"/>
  <c r="V54" i="2"/>
  <c r="T30" i="2"/>
  <c r="U33" i="2"/>
  <c r="T42" i="2"/>
  <c r="T35" i="2"/>
  <c r="T34" i="2"/>
  <c r="T32" i="2"/>
  <c r="T31" i="2"/>
  <c r="S50" i="3"/>
  <c r="S42" i="3"/>
  <c r="T42" i="3" s="1"/>
  <c r="S43" i="3"/>
  <c r="S41" i="3"/>
  <c r="S40" i="3"/>
  <c r="R66" i="1" l="1"/>
  <c r="T65" i="1"/>
  <c r="R65" i="1" s="1"/>
  <c r="U24" i="3"/>
  <c r="T90" i="2"/>
  <c r="T89" i="2"/>
  <c r="T77" i="2"/>
  <c r="T73" i="2" s="1"/>
  <c r="T80" i="2"/>
  <c r="T98" i="2"/>
  <c r="K21" i="2" l="1"/>
  <c r="J22" i="2"/>
  <c r="I22" i="2" s="1"/>
  <c r="G22" i="2" s="1"/>
  <c r="T83" i="2"/>
  <c r="T78" i="2"/>
  <c r="AB46" i="2"/>
  <c r="W46" i="2"/>
  <c r="X46" i="2"/>
  <c r="Y46" i="2"/>
  <c r="Z46" i="2"/>
  <c r="AD46" i="2"/>
  <c r="AE46" i="2"/>
  <c r="N125" i="1"/>
  <c r="S8" i="2"/>
  <c r="L8" i="2"/>
  <c r="L10" i="3"/>
  <c r="L8" i="3" s="1"/>
  <c r="Q8" i="2" l="1"/>
  <c r="AA22" i="2"/>
  <c r="AB22" i="2" s="1"/>
  <c r="N9" i="3" l="1"/>
  <c r="K9" i="3" s="1"/>
  <c r="N47" i="3"/>
  <c r="N18" i="3"/>
  <c r="L17" i="3"/>
  <c r="N17" i="3"/>
  <c r="N10" i="3"/>
  <c r="I19" i="2"/>
  <c r="G19" i="2" s="1"/>
  <c r="N66" i="2"/>
  <c r="AF66" i="2" s="1"/>
  <c r="AF62" i="2"/>
  <c r="N62" i="2"/>
  <c r="N61" i="2"/>
  <c r="AF61" i="2" s="1"/>
  <c r="N60" i="2"/>
  <c r="AF60" i="2" s="1"/>
  <c r="N59" i="2"/>
  <c r="AF59" i="2" s="1"/>
  <c r="N57" i="2"/>
  <c r="AF57" i="2" s="1"/>
  <c r="N47" i="2"/>
  <c r="AF47" i="2" s="1"/>
  <c r="N39" i="2"/>
  <c r="AF39" i="2" s="1"/>
  <c r="AF29" i="2" s="1"/>
  <c r="N24" i="2"/>
  <c r="AF24" i="2" s="1"/>
  <c r="AF46" i="2" l="1"/>
  <c r="AA19" i="2"/>
  <c r="N46" i="2"/>
  <c r="K24" i="2"/>
  <c r="N19" i="2"/>
  <c r="N67" i="1"/>
  <c r="L67" i="1" s="1"/>
  <c r="Y67" i="1" s="1"/>
  <c r="N65" i="1"/>
  <c r="N64" i="1"/>
  <c r="N58" i="1"/>
  <c r="N57" i="1"/>
  <c r="N56" i="1"/>
  <c r="AA56" i="1" s="1"/>
  <c r="N50" i="1"/>
  <c r="N48" i="1"/>
  <c r="N46" i="1"/>
  <c r="N41" i="1"/>
  <c r="L41" i="1" s="1"/>
  <c r="N30" i="1"/>
  <c r="K30" i="1" s="1"/>
  <c r="N18" i="2" l="1"/>
  <c r="K19" i="2"/>
  <c r="AF19" i="2"/>
  <c r="AF18" i="2" s="1"/>
  <c r="X78" i="3"/>
  <c r="Y78" i="3" s="1"/>
  <c r="I78" i="3"/>
  <c r="AB121" i="2"/>
  <c r="AA121" i="2" s="1"/>
  <c r="I121" i="2"/>
  <c r="G121" i="2" s="1"/>
  <c r="X133" i="1"/>
  <c r="W133" i="1" s="1"/>
  <c r="O133" i="1"/>
  <c r="I133" i="1" s="1"/>
  <c r="O132" i="1"/>
  <c r="AB19" i="2" l="1"/>
  <c r="K18" i="2"/>
  <c r="Z29" i="2"/>
  <c r="AA120" i="2" l="1"/>
  <c r="AC120" i="2" s="1"/>
  <c r="J120" i="2"/>
  <c r="I120" i="2" s="1"/>
  <c r="G120" i="2" s="1"/>
  <c r="K127" i="1"/>
  <c r="K125" i="1" s="1"/>
  <c r="M127" i="1"/>
  <c r="M125" i="1" s="1"/>
  <c r="N127" i="1"/>
  <c r="O127" i="1"/>
  <c r="O125" i="1" s="1"/>
  <c r="P127" i="1"/>
  <c r="P125" i="1" s="1"/>
  <c r="Q127" i="1"/>
  <c r="Q125" i="1" s="1"/>
  <c r="R127" i="1"/>
  <c r="R125" i="1" s="1"/>
  <c r="S127" i="1"/>
  <c r="S125" i="1" s="1"/>
  <c r="T127" i="1"/>
  <c r="T125" i="1" s="1"/>
  <c r="U127" i="1"/>
  <c r="U125" i="1" s="1"/>
  <c r="V127" i="1"/>
  <c r="V125" i="1" s="1"/>
  <c r="X125" i="1"/>
  <c r="Z127" i="1"/>
  <c r="Z125" i="1" s="1"/>
  <c r="AA127" i="1"/>
  <c r="F127" i="1"/>
  <c r="F128" i="1"/>
  <c r="L128" i="1"/>
  <c r="Y128" i="1" s="1"/>
  <c r="Y127" i="1" s="1"/>
  <c r="F129" i="1"/>
  <c r="J129" i="1"/>
  <c r="I129" i="1" s="1"/>
  <c r="F130" i="1"/>
  <c r="J130" i="1"/>
  <c r="I130" i="1" s="1"/>
  <c r="F131" i="1"/>
  <c r="J131" i="1"/>
  <c r="I131" i="1" s="1"/>
  <c r="F125" i="1"/>
  <c r="F126" i="1"/>
  <c r="L126" i="1"/>
  <c r="Y126" i="1" s="1"/>
  <c r="AA126" i="1"/>
  <c r="AA125" i="1" s="1"/>
  <c r="AA122" i="1"/>
  <c r="Z122" i="1"/>
  <c r="X122" i="1"/>
  <c r="V122" i="1"/>
  <c r="U122" i="1"/>
  <c r="T122" i="1"/>
  <c r="S122" i="1"/>
  <c r="R122" i="1"/>
  <c r="Q122" i="1"/>
  <c r="P122" i="1"/>
  <c r="O122" i="1"/>
  <c r="N122" i="1"/>
  <c r="M122" i="1"/>
  <c r="K122" i="1"/>
  <c r="F122" i="1"/>
  <c r="F123" i="1"/>
  <c r="L123" i="1"/>
  <c r="Y123" i="1" s="1"/>
  <c r="W123" i="1" s="1"/>
  <c r="F124" i="1"/>
  <c r="L124" i="1"/>
  <c r="W126" i="1" l="1"/>
  <c r="W125" i="1" s="1"/>
  <c r="J124" i="1"/>
  <c r="I124" i="1" s="1"/>
  <c r="Y124" i="1"/>
  <c r="W124" i="1" s="1"/>
  <c r="Y125" i="1"/>
  <c r="W128" i="1"/>
  <c r="W127" i="1" s="1"/>
  <c r="J123" i="1"/>
  <c r="I123" i="1" s="1"/>
  <c r="L122" i="1"/>
  <c r="L7" i="1" s="1"/>
  <c r="J128" i="1"/>
  <c r="L127" i="1"/>
  <c r="J126" i="1"/>
  <c r="L125" i="1"/>
  <c r="R33" i="1"/>
  <c r="R114" i="1"/>
  <c r="T114" i="1" s="1"/>
  <c r="T113" i="1" s="1"/>
  <c r="R43" i="1"/>
  <c r="T55" i="2"/>
  <c r="T86" i="1"/>
  <c r="T85" i="1" s="1"/>
  <c r="R85" i="1" s="1"/>
  <c r="R29" i="1"/>
  <c r="S29" i="1" s="1"/>
  <c r="S79" i="1"/>
  <c r="R78" i="1"/>
  <c r="R28" i="1"/>
  <c r="S28" i="1" s="1"/>
  <c r="R27" i="1"/>
  <c r="R111" i="1"/>
  <c r="R32" i="1"/>
  <c r="T40" i="2"/>
  <c r="S48" i="3"/>
  <c r="T55" i="3"/>
  <c r="U45" i="2"/>
  <c r="R31" i="1"/>
  <c r="Y122" i="1" l="1"/>
  <c r="R30" i="1"/>
  <c r="X30" i="1" s="1"/>
  <c r="S27" i="1"/>
  <c r="R21" i="1"/>
  <c r="X21" i="1" s="1"/>
  <c r="J122" i="1"/>
  <c r="I122" i="1"/>
  <c r="I128" i="1"/>
  <c r="I127" i="1" s="1"/>
  <c r="J127" i="1"/>
  <c r="I126" i="1"/>
  <c r="J125" i="1"/>
  <c r="R113" i="1"/>
  <c r="Y113" i="1" s="1"/>
  <c r="W113" i="1" s="1"/>
  <c r="T100" i="2"/>
  <c r="J7" i="1" l="1"/>
  <c r="W122" i="1"/>
  <c r="W7" i="1" s="1"/>
  <c r="Y7" i="1"/>
  <c r="X20" i="1"/>
  <c r="I125" i="1"/>
  <c r="I7" i="1" s="1"/>
  <c r="G7" i="1" s="1"/>
  <c r="AB7" i="1" s="1"/>
  <c r="K121" i="1"/>
  <c r="J121" i="1" s="1"/>
  <c r="Y166" i="1"/>
  <c r="K120" i="1"/>
  <c r="J120" i="1" s="1"/>
  <c r="K119" i="1"/>
  <c r="J119" i="1" s="1"/>
  <c r="V86" i="2" l="1"/>
  <c r="T43" i="2"/>
  <c r="U43" i="2" s="1"/>
  <c r="T41" i="2"/>
  <c r="U41" i="2" s="1"/>
  <c r="S33" i="1"/>
  <c r="R110" i="1"/>
  <c r="W102" i="2"/>
  <c r="T99" i="2"/>
  <c r="W100" i="2"/>
  <c r="W101" i="2"/>
  <c r="W103" i="2"/>
  <c r="W104" i="2"/>
  <c r="W105" i="2"/>
  <c r="T88" i="2"/>
  <c r="T50" i="3"/>
  <c r="U42" i="2"/>
  <c r="U35" i="2"/>
  <c r="U34" i="2"/>
  <c r="U32" i="2"/>
  <c r="T43" i="3"/>
  <c r="T41" i="3"/>
  <c r="S81" i="1"/>
  <c r="S39" i="1"/>
  <c r="T47" i="1"/>
  <c r="S111" i="1"/>
  <c r="V55" i="2"/>
  <c r="V53" i="2" s="1"/>
  <c r="S26" i="1"/>
  <c r="S24" i="1"/>
  <c r="S23" i="1"/>
  <c r="S21" i="1" s="1"/>
  <c r="T54" i="2"/>
  <c r="T53" i="2" s="1"/>
  <c r="U22" i="3"/>
  <c r="S110" i="1" l="1"/>
  <c r="R107" i="1"/>
  <c r="W99" i="2"/>
  <c r="T97" i="2"/>
  <c r="U31" i="2"/>
  <c r="T39" i="2"/>
  <c r="S34" i="1"/>
  <c r="X39" i="3" l="1"/>
  <c r="W97" i="2"/>
  <c r="T96" i="2"/>
  <c r="W96" i="2" s="1"/>
  <c r="V89" i="2"/>
  <c r="S80" i="1"/>
  <c r="S54" i="3"/>
  <c r="T54" i="3" l="1"/>
  <c r="S88" i="1" l="1"/>
  <c r="R88" i="1"/>
  <c r="Z40" i="1"/>
  <c r="X40" i="1"/>
  <c r="AA41" i="1"/>
  <c r="R50" i="1"/>
  <c r="R46" i="1"/>
  <c r="T102" i="1" l="1"/>
  <c r="S50" i="1"/>
  <c r="S75" i="3" l="1"/>
  <c r="U77" i="3"/>
  <c r="T62" i="2" l="1"/>
  <c r="T48" i="2"/>
  <c r="AA64" i="1" l="1"/>
  <c r="AB47" i="3"/>
  <c r="R20" i="1"/>
  <c r="R79" i="1"/>
  <c r="R77" i="1" s="1"/>
  <c r="Z21" i="1"/>
  <c r="Z20" i="1" l="1"/>
  <c r="W21" i="1"/>
  <c r="T29" i="2"/>
  <c r="T11" i="3"/>
  <c r="S12" i="3"/>
  <c r="S11" i="3" s="1"/>
  <c r="W67" i="2"/>
  <c r="W7" i="2" s="1"/>
  <c r="X67" i="2"/>
  <c r="Y67" i="2"/>
  <c r="Z67" i="2"/>
  <c r="S67" i="2"/>
  <c r="Q67" i="2" s="1"/>
  <c r="S80" i="3" l="1"/>
  <c r="S65" i="3"/>
  <c r="O38" i="3"/>
  <c r="P38" i="3"/>
  <c r="R38" i="3"/>
  <c r="M38" i="3"/>
  <c r="T92" i="1"/>
  <c r="R82" i="1"/>
  <c r="J164" i="1" l="1"/>
  <c r="J160" i="1"/>
  <c r="U38" i="3" l="1"/>
  <c r="U68" i="1"/>
  <c r="V68" i="1"/>
  <c r="Z68" i="1"/>
  <c r="AA68" i="1"/>
  <c r="S71" i="1"/>
  <c r="R71" i="1"/>
  <c r="R69" i="1" s="1"/>
  <c r="T20" i="1"/>
  <c r="U20" i="1"/>
  <c r="V20" i="1"/>
  <c r="S38" i="1"/>
  <c r="J21" i="1"/>
  <c r="L20" i="1"/>
  <c r="M20" i="1"/>
  <c r="N20" i="1"/>
  <c r="AD67" i="2"/>
  <c r="AE67" i="2"/>
  <c r="AF67" i="2"/>
  <c r="AG67" i="2"/>
  <c r="U62" i="2"/>
  <c r="V65" i="2"/>
  <c r="V64" i="2"/>
  <c r="V62" i="2" s="1"/>
  <c r="T24" i="2"/>
  <c r="W98" i="2"/>
  <c r="T52" i="3"/>
  <c r="S36" i="1"/>
  <c r="T49" i="3"/>
  <c r="T47" i="3" s="1"/>
  <c r="S109" i="1"/>
  <c r="T45" i="3"/>
  <c r="U37" i="2"/>
  <c r="U30" i="2" s="1"/>
  <c r="AB30" i="2" s="1"/>
  <c r="AB7" i="2" s="1"/>
  <c r="S78" i="1"/>
  <c r="S77" i="1" s="1"/>
  <c r="X77" i="1" s="1"/>
  <c r="W77" i="1" s="1"/>
  <c r="T44" i="3"/>
  <c r="T39" i="3" s="1"/>
  <c r="U40" i="2"/>
  <c r="U39" i="2" s="1"/>
  <c r="S32" i="1"/>
  <c r="S70" i="1"/>
  <c r="S31" i="1"/>
  <c r="S30" i="1" s="1"/>
  <c r="T40" i="3"/>
  <c r="T20" i="2"/>
  <c r="U20" i="2" s="1"/>
  <c r="U27" i="2"/>
  <c r="U26" i="2"/>
  <c r="U25" i="2"/>
  <c r="U83" i="2"/>
  <c r="V87" i="2"/>
  <c r="U62" i="3"/>
  <c r="V93" i="2"/>
  <c r="V71" i="2"/>
  <c r="U88" i="2"/>
  <c r="V90" i="2"/>
  <c r="V88" i="2" s="1"/>
  <c r="U78" i="2"/>
  <c r="U73" i="2" s="1"/>
  <c r="V80" i="2"/>
  <c r="V79" i="2"/>
  <c r="V85" i="2"/>
  <c r="V84" i="2"/>
  <c r="S69" i="1" l="1"/>
  <c r="S107" i="1"/>
  <c r="X107" i="1" s="1"/>
  <c r="W107" i="1" s="1"/>
  <c r="U29" i="2"/>
  <c r="S68" i="1"/>
  <c r="V83" i="2"/>
  <c r="T18" i="2"/>
  <c r="AA24" i="2"/>
  <c r="S20" i="1"/>
  <c r="U67" i="2"/>
  <c r="V78" i="2"/>
  <c r="V77" i="2"/>
  <c r="V73" i="2" s="1"/>
  <c r="U24" i="2"/>
  <c r="AB24" i="2" s="1"/>
  <c r="T38" i="3" l="1"/>
  <c r="T7" i="3"/>
  <c r="U53" i="2"/>
  <c r="U48" i="2"/>
  <c r="V51" i="2"/>
  <c r="V50" i="2"/>
  <c r="T94" i="1"/>
  <c r="S82" i="1"/>
  <c r="T84" i="1"/>
  <c r="T93" i="1"/>
  <c r="T83" i="1"/>
  <c r="S41" i="1"/>
  <c r="S40" i="1" s="1"/>
  <c r="T45" i="1"/>
  <c r="S76" i="1"/>
  <c r="S105" i="1"/>
  <c r="T75" i="3"/>
  <c r="U74" i="3"/>
  <c r="T52" i="1"/>
  <c r="T44" i="1"/>
  <c r="U73" i="3"/>
  <c r="T43" i="1"/>
  <c r="T46" i="1"/>
  <c r="U67" i="3"/>
  <c r="T41" i="1" l="1"/>
  <c r="U46" i="2"/>
  <c r="T82" i="1"/>
  <c r="U72" i="3"/>
  <c r="U71" i="3"/>
  <c r="V49" i="2"/>
  <c r="V48" i="2" s="1"/>
  <c r="V46" i="2" s="1"/>
  <c r="T63" i="1"/>
  <c r="T62" i="1"/>
  <c r="T61" i="1"/>
  <c r="R60" i="1"/>
  <c r="R58" i="1" s="1"/>
  <c r="T59" i="1"/>
  <c r="T60" i="1" s="1"/>
  <c r="S70" i="3"/>
  <c r="S68" i="3" s="1"/>
  <c r="U69" i="3"/>
  <c r="U76" i="3"/>
  <c r="U75" i="3" s="1"/>
  <c r="U66" i="3"/>
  <c r="U65" i="3" s="1"/>
  <c r="T91" i="1"/>
  <c r="T51" i="1"/>
  <c r="T50" i="1" s="1"/>
  <c r="T90" i="1"/>
  <c r="R75" i="1"/>
  <c r="T75" i="1" s="1"/>
  <c r="R42" i="1"/>
  <c r="R41" i="1" s="1"/>
  <c r="T46" i="2"/>
  <c r="Y41" i="1" l="1"/>
  <c r="W41" i="1" s="1"/>
  <c r="U68" i="3"/>
  <c r="T88" i="1"/>
  <c r="T58" i="1"/>
  <c r="V113" i="2"/>
  <c r="V111" i="2" s="1"/>
  <c r="T112" i="2"/>
  <c r="T111" i="2" s="1"/>
  <c r="AA111" i="2" s="1"/>
  <c r="U15" i="3"/>
  <c r="S15" i="3"/>
  <c r="T119" i="2"/>
  <c r="V118" i="2"/>
  <c r="T118" i="2" s="1"/>
  <c r="S31" i="3"/>
  <c r="U30" i="3"/>
  <c r="S30" i="3" s="1"/>
  <c r="T17" i="1"/>
  <c r="T16" i="1" s="1"/>
  <c r="R17" i="1" l="1"/>
  <c r="R16" i="1" s="1"/>
  <c r="R15" i="1" s="1"/>
  <c r="R86" i="1"/>
  <c r="R87" i="1"/>
  <c r="V38" i="3" l="1"/>
  <c r="W38" i="3"/>
  <c r="Z38" i="3"/>
  <c r="K29" i="3"/>
  <c r="M29" i="3"/>
  <c r="N29" i="3"/>
  <c r="O29" i="3"/>
  <c r="P29" i="3"/>
  <c r="R29" i="3"/>
  <c r="T29" i="3"/>
  <c r="U29" i="3"/>
  <c r="V29" i="3"/>
  <c r="W29" i="3"/>
  <c r="Y29" i="3"/>
  <c r="Z29" i="3"/>
  <c r="AA29" i="3"/>
  <c r="AB29" i="3"/>
  <c r="M25" i="3"/>
  <c r="N25" i="3"/>
  <c r="O25" i="3"/>
  <c r="P25" i="3"/>
  <c r="R25" i="3"/>
  <c r="T25" i="3"/>
  <c r="V25" i="3"/>
  <c r="W25" i="3"/>
  <c r="Y25" i="3"/>
  <c r="AA25" i="3"/>
  <c r="AB25" i="3"/>
  <c r="O19" i="3"/>
  <c r="P19" i="3"/>
  <c r="R19" i="3"/>
  <c r="S19" i="3"/>
  <c r="T19" i="3"/>
  <c r="U19" i="3"/>
  <c r="V19" i="3"/>
  <c r="W19" i="3"/>
  <c r="AA19" i="3"/>
  <c r="N19" i="3"/>
  <c r="M16" i="3"/>
  <c r="N16" i="3"/>
  <c r="O16" i="3"/>
  <c r="P16" i="3"/>
  <c r="R16" i="3"/>
  <c r="S16" i="3"/>
  <c r="T16" i="3"/>
  <c r="U16" i="3"/>
  <c r="V16" i="3"/>
  <c r="W16" i="3"/>
  <c r="Y16" i="3"/>
  <c r="AA16" i="3"/>
  <c r="K11" i="3"/>
  <c r="M11" i="3"/>
  <c r="N11" i="3"/>
  <c r="O11" i="3"/>
  <c r="V11" i="3"/>
  <c r="W11" i="3"/>
  <c r="Y11" i="3"/>
  <c r="AA11" i="3"/>
  <c r="M8" i="3"/>
  <c r="N8" i="3"/>
  <c r="O8" i="3"/>
  <c r="P8" i="3"/>
  <c r="S8" i="3"/>
  <c r="T8" i="3"/>
  <c r="U8" i="3"/>
  <c r="V8" i="3"/>
  <c r="W8" i="3"/>
  <c r="AA8" i="3"/>
  <c r="M68" i="1"/>
  <c r="N68" i="1"/>
  <c r="P68" i="1"/>
  <c r="Q68" i="1"/>
  <c r="K40" i="1"/>
  <c r="M40" i="1"/>
  <c r="M7" i="1" s="1"/>
  <c r="P40" i="1"/>
  <c r="P7" i="1" s="1"/>
  <c r="Q40" i="1"/>
  <c r="Q7" i="1" s="1"/>
  <c r="Z95" i="2"/>
  <c r="Z7" i="2" s="1"/>
  <c r="J95" i="2"/>
  <c r="AA95" i="2"/>
  <c r="AG95" i="2" s="1"/>
  <c r="K59" i="3"/>
  <c r="M59" i="3"/>
  <c r="N59" i="3"/>
  <c r="O59" i="3"/>
  <c r="P59" i="3"/>
  <c r="R59" i="3"/>
  <c r="T59" i="3"/>
  <c r="V59" i="3"/>
  <c r="W59" i="3"/>
  <c r="Y59" i="3"/>
  <c r="AA59" i="3"/>
  <c r="AB59" i="3"/>
  <c r="K67" i="2"/>
  <c r="M67" i="2"/>
  <c r="N67" i="2"/>
  <c r="O67" i="2"/>
  <c r="P67" i="2"/>
  <c r="K46" i="2"/>
  <c r="M46" i="2"/>
  <c r="O46" i="2"/>
  <c r="P46" i="2"/>
  <c r="S46" i="2"/>
  <c r="Q46" i="2" s="1"/>
  <c r="L29" i="2"/>
  <c r="M29" i="2"/>
  <c r="N29" i="2"/>
  <c r="O29" i="2"/>
  <c r="P29" i="2"/>
  <c r="S29" i="2"/>
  <c r="Q29" i="2" s="1"/>
  <c r="V29" i="2"/>
  <c r="X29" i="2"/>
  <c r="Y29" i="2"/>
  <c r="AC29" i="2"/>
  <c r="AD29" i="2"/>
  <c r="AC18" i="2"/>
  <c r="U19" i="2"/>
  <c r="U18" i="2" s="1"/>
  <c r="L18" i="2"/>
  <c r="M18" i="2"/>
  <c r="O18" i="2"/>
  <c r="P18" i="2"/>
  <c r="S18" i="2"/>
  <c r="V18" i="2"/>
  <c r="X18" i="2"/>
  <c r="Y18" i="2"/>
  <c r="AD18" i="2"/>
  <c r="AE18" i="2"/>
  <c r="AG18" i="2"/>
  <c r="K32" i="3"/>
  <c r="M32" i="3"/>
  <c r="N32" i="3"/>
  <c r="P32" i="3"/>
  <c r="T32" i="3"/>
  <c r="V32" i="3"/>
  <c r="W32" i="3"/>
  <c r="Y32" i="3"/>
  <c r="AA32" i="3"/>
  <c r="AB32" i="3"/>
  <c r="K8" i="2"/>
  <c r="O8" i="2"/>
  <c r="P8" i="2"/>
  <c r="U8" i="2"/>
  <c r="U7" i="2" s="1"/>
  <c r="X8" i="2"/>
  <c r="X7" i="2" s="1"/>
  <c r="Y8" i="2"/>
  <c r="Y7" i="2" s="1"/>
  <c r="AB8" i="2"/>
  <c r="AD8" i="2"/>
  <c r="AE8" i="2"/>
  <c r="AE7" i="2" s="1"/>
  <c r="AF8" i="2"/>
  <c r="AF7" i="2" s="1"/>
  <c r="AG8" i="2"/>
  <c r="Q18" i="2" l="1"/>
  <c r="AG7" i="2"/>
  <c r="N19" i="1"/>
  <c r="N7" i="1"/>
  <c r="K19" i="1"/>
  <c r="AA39" i="3"/>
  <c r="AA38" i="3" s="1"/>
  <c r="AA30" i="1"/>
  <c r="U63" i="3"/>
  <c r="U64" i="3" s="1"/>
  <c r="S64" i="3" s="1"/>
  <c r="T110" i="2"/>
  <c r="V110" i="2" s="1"/>
  <c r="T108" i="2"/>
  <c r="V108" i="2" s="1"/>
  <c r="T107" i="2"/>
  <c r="V107" i="2" s="1"/>
  <c r="V106" i="2"/>
  <c r="AC111" i="2"/>
  <c r="AA67" i="1"/>
  <c r="W67" i="1" s="1"/>
  <c r="AA65" i="1"/>
  <c r="AA57" i="1"/>
  <c r="AB58" i="3"/>
  <c r="AB57" i="3"/>
  <c r="Z58" i="3"/>
  <c r="AA20" i="1" l="1"/>
  <c r="W20" i="1" s="1"/>
  <c r="W30" i="1"/>
  <c r="AA46" i="1"/>
  <c r="V12" i="2"/>
  <c r="T8" i="2"/>
  <c r="S60" i="3" l="1"/>
  <c r="S61" i="3"/>
  <c r="U61" i="3" s="1"/>
  <c r="U59" i="3" s="1"/>
  <c r="T72" i="2"/>
  <c r="R117" i="1"/>
  <c r="AA58" i="1"/>
  <c r="AA50" i="1"/>
  <c r="AA48" i="1"/>
  <c r="AB22" i="3"/>
  <c r="AB21" i="3"/>
  <c r="AB20" i="3"/>
  <c r="AB18" i="3"/>
  <c r="AB17" i="3"/>
  <c r="Z17" i="3"/>
  <c r="AB12" i="3"/>
  <c r="AB11" i="3" s="1"/>
  <c r="AB10" i="3"/>
  <c r="AB9" i="3"/>
  <c r="AA19" i="1" l="1"/>
  <c r="AB8" i="3"/>
  <c r="AB16" i="3"/>
  <c r="T117" i="1"/>
  <c r="R118" i="1"/>
  <c r="T118" i="1" s="1"/>
  <c r="AB19" i="3"/>
  <c r="S59" i="3"/>
  <c r="U12" i="3"/>
  <c r="U11" i="3" s="1"/>
  <c r="V14" i="2"/>
  <c r="V13" i="2"/>
  <c r="V17" i="2"/>
  <c r="V10" i="2"/>
  <c r="U82" i="3" l="1"/>
  <c r="U13" i="3"/>
  <c r="S13" i="3" s="1"/>
  <c r="T115" i="2"/>
  <c r="V115" i="2" s="1"/>
  <c r="V116" i="2" s="1"/>
  <c r="T116" i="2" s="1"/>
  <c r="S116" i="2" s="1"/>
  <c r="Q116" i="2" s="1"/>
  <c r="V81" i="3" l="1"/>
  <c r="T15" i="1"/>
  <c r="I110" i="2"/>
  <c r="G110" i="2" s="1"/>
  <c r="S109" i="2"/>
  <c r="I13" i="2"/>
  <c r="I14" i="2"/>
  <c r="I15" i="2"/>
  <c r="I16" i="2"/>
  <c r="I17" i="2"/>
  <c r="I91" i="2"/>
  <c r="G91" i="2" s="1"/>
  <c r="I88" i="2"/>
  <c r="I117" i="2"/>
  <c r="I118" i="2"/>
  <c r="AC88" i="2" l="1"/>
  <c r="AA118" i="2"/>
  <c r="G118" i="2"/>
  <c r="AA117" i="2"/>
  <c r="AC117" i="2" s="1"/>
  <c r="G117" i="2"/>
  <c r="T109" i="2"/>
  <c r="V109" i="2" s="1"/>
  <c r="Q109" i="2"/>
  <c r="Q7" i="2" s="1"/>
  <c r="S7" i="2"/>
  <c r="AC14" i="2"/>
  <c r="G14" i="2"/>
  <c r="AC13" i="2"/>
  <c r="G13" i="2"/>
  <c r="AC16" i="2"/>
  <c r="G16" i="2"/>
  <c r="AC15" i="2"/>
  <c r="G15" i="2"/>
  <c r="AA17" i="2"/>
  <c r="AC17" i="2" s="1"/>
  <c r="G17" i="2"/>
  <c r="I109" i="2"/>
  <c r="G109" i="2" s="1"/>
  <c r="I36" i="3"/>
  <c r="Z36" i="3" s="1"/>
  <c r="O15" i="1"/>
  <c r="O16" i="1"/>
  <c r="O19" i="1"/>
  <c r="O20" i="1"/>
  <c r="O21" i="1"/>
  <c r="O30" i="1"/>
  <c r="O41" i="1"/>
  <c r="O46" i="1"/>
  <c r="O48" i="1"/>
  <c r="O50" i="1"/>
  <c r="O56" i="1"/>
  <c r="O57" i="1"/>
  <c r="O58" i="1"/>
  <c r="O64" i="1"/>
  <c r="O65" i="1"/>
  <c r="O67" i="1"/>
  <c r="O69" i="1"/>
  <c r="O72" i="1"/>
  <c r="O74" i="1"/>
  <c r="O77" i="1"/>
  <c r="O82" i="1"/>
  <c r="Y82" i="1" s="1"/>
  <c r="O85" i="1"/>
  <c r="Y85" i="1" s="1"/>
  <c r="W85" i="1" s="1"/>
  <c r="O88" i="1"/>
  <c r="Y88" i="1" s="1"/>
  <c r="W88" i="1" s="1"/>
  <c r="O103" i="1"/>
  <c r="O106" i="1"/>
  <c r="R106" i="1" s="1"/>
  <c r="O107" i="1"/>
  <c r="O113" i="1"/>
  <c r="O115" i="1"/>
  <c r="O117" i="1"/>
  <c r="J92" i="2"/>
  <c r="I92" i="2" s="1"/>
  <c r="J106" i="2"/>
  <c r="I106" i="2" s="1"/>
  <c r="G106" i="2" s="1"/>
  <c r="J107" i="2"/>
  <c r="I107" i="2" s="1"/>
  <c r="G107" i="2" s="1"/>
  <c r="J108" i="2"/>
  <c r="I108" i="2" s="1"/>
  <c r="G108" i="2" s="1"/>
  <c r="J111" i="2"/>
  <c r="I111" i="2" s="1"/>
  <c r="G111" i="2" s="1"/>
  <c r="J115" i="2"/>
  <c r="I115" i="2" s="1"/>
  <c r="J61" i="3"/>
  <c r="I61" i="3" s="1"/>
  <c r="X61" i="3" s="1"/>
  <c r="J63" i="3"/>
  <c r="I63" i="3" s="1"/>
  <c r="X63" i="3" s="1"/>
  <c r="J65" i="3"/>
  <c r="I65" i="3" s="1"/>
  <c r="X65" i="3" s="1"/>
  <c r="Z65" i="3" s="1"/>
  <c r="J68" i="3"/>
  <c r="I68" i="3" s="1"/>
  <c r="X68" i="3" s="1"/>
  <c r="Z68" i="3" s="1"/>
  <c r="J75" i="3"/>
  <c r="I75" i="3" s="1"/>
  <c r="J82" i="1"/>
  <c r="J85" i="1"/>
  <c r="J88" i="1"/>
  <c r="J103" i="1"/>
  <c r="J106" i="1"/>
  <c r="J107" i="1"/>
  <c r="J113" i="1"/>
  <c r="J115" i="1"/>
  <c r="J117" i="1"/>
  <c r="J77" i="1"/>
  <c r="G92" i="2" l="1"/>
  <c r="AA115" i="2"/>
  <c r="G115" i="2"/>
  <c r="R115" i="1"/>
  <c r="R103" i="1"/>
  <c r="T103" i="1" s="1"/>
  <c r="Y103" i="1"/>
  <c r="W103" i="1" s="1"/>
  <c r="I88" i="1"/>
  <c r="I85" i="1"/>
  <c r="I82" i="1"/>
  <c r="I117" i="1"/>
  <c r="I115" i="1"/>
  <c r="I113" i="1"/>
  <c r="I103" i="1"/>
  <c r="X75" i="3"/>
  <c r="Z75" i="3" s="1"/>
  <c r="T115" i="1"/>
  <c r="T116" i="1" s="1"/>
  <c r="R116" i="1"/>
  <c r="O40" i="1"/>
  <c r="O7" i="1" s="1"/>
  <c r="O68" i="1"/>
  <c r="AA109" i="2"/>
  <c r="AC109" i="2" s="1"/>
  <c r="I77" i="1"/>
  <c r="L74" i="1"/>
  <c r="R74" i="1" s="1"/>
  <c r="R68" i="1" s="1"/>
  <c r="L72" i="1"/>
  <c r="L68" i="1" s="1"/>
  <c r="K69" i="1"/>
  <c r="L65" i="1"/>
  <c r="Y65" i="1" s="1"/>
  <c r="W65" i="1" s="1"/>
  <c r="L64" i="1"/>
  <c r="Y64" i="1" s="1"/>
  <c r="W64" i="1" s="1"/>
  <c r="L58" i="1"/>
  <c r="Y58" i="1" s="1"/>
  <c r="W58" i="1" s="1"/>
  <c r="L57" i="1"/>
  <c r="Y57" i="1" s="1"/>
  <c r="W57" i="1" s="1"/>
  <c r="L56" i="1"/>
  <c r="Y56" i="1" s="1"/>
  <c r="W56" i="1" s="1"/>
  <c r="L50" i="1"/>
  <c r="Y50" i="1" s="1"/>
  <c r="W50" i="1" s="1"/>
  <c r="L48" i="1"/>
  <c r="Y48" i="1" s="1"/>
  <c r="W48" i="1" s="1"/>
  <c r="L46" i="1"/>
  <c r="Y46" i="1" s="1"/>
  <c r="W46" i="1" s="1"/>
  <c r="J16" i="1"/>
  <c r="N15" i="1"/>
  <c r="M15" i="1"/>
  <c r="L15" i="1"/>
  <c r="K15" i="1"/>
  <c r="J60" i="3"/>
  <c r="J37" i="3"/>
  <c r="I37" i="3" s="1"/>
  <c r="J39" i="3"/>
  <c r="I39" i="3" s="1"/>
  <c r="J58" i="3"/>
  <c r="I58" i="3" s="1"/>
  <c r="X58" i="3" s="1"/>
  <c r="L57" i="3"/>
  <c r="N56" i="3"/>
  <c r="M56" i="3"/>
  <c r="K56" i="3"/>
  <c r="K47" i="3"/>
  <c r="K38" i="3" s="1"/>
  <c r="L38" i="3"/>
  <c r="L35" i="3"/>
  <c r="L34" i="3"/>
  <c r="J34" i="3" s="1"/>
  <c r="L33" i="3"/>
  <c r="J30" i="3"/>
  <c r="K25" i="3"/>
  <c r="K22" i="3" s="1"/>
  <c r="J22" i="3" s="1"/>
  <c r="I22" i="3" s="1"/>
  <c r="Z22" i="3" s="1"/>
  <c r="AC22" i="3" s="1"/>
  <c r="L28" i="3"/>
  <c r="L27" i="3"/>
  <c r="L26" i="3"/>
  <c r="F28" i="3"/>
  <c r="F27" i="3"/>
  <c r="F26" i="3"/>
  <c r="F25" i="3"/>
  <c r="M19" i="3"/>
  <c r="K21" i="3"/>
  <c r="K20" i="3"/>
  <c r="F21" i="3"/>
  <c r="F20" i="3"/>
  <c r="F19" i="3"/>
  <c r="I17" i="3"/>
  <c r="X17" i="3" s="1"/>
  <c r="L18" i="3"/>
  <c r="L16" i="3" s="1"/>
  <c r="K16" i="3"/>
  <c r="F18" i="3"/>
  <c r="F17" i="3"/>
  <c r="J12" i="3"/>
  <c r="J14" i="3"/>
  <c r="I14" i="3" s="1"/>
  <c r="X14" i="3" s="1"/>
  <c r="Z14" i="3" s="1"/>
  <c r="F14" i="3"/>
  <c r="F12" i="3"/>
  <c r="K8" i="3"/>
  <c r="F10" i="3"/>
  <c r="F9" i="3"/>
  <c r="F8" i="3"/>
  <c r="J97" i="2"/>
  <c r="I97" i="2" s="1"/>
  <c r="G97" i="2" s="1"/>
  <c r="P96" i="2"/>
  <c r="P7" i="2" s="1"/>
  <c r="O96" i="2"/>
  <c r="O7" i="2" s="1"/>
  <c r="J72" i="2"/>
  <c r="I72" i="2" s="1"/>
  <c r="L83" i="2"/>
  <c r="L81" i="2"/>
  <c r="L78" i="2"/>
  <c r="J78" i="2" s="1"/>
  <c r="L73" i="2"/>
  <c r="J73" i="2" s="1"/>
  <c r="L70" i="2"/>
  <c r="J70" i="2" s="1"/>
  <c r="I70" i="2" s="1"/>
  <c r="L68" i="2"/>
  <c r="J9" i="2"/>
  <c r="J10" i="2"/>
  <c r="I10" i="2" s="1"/>
  <c r="J12" i="2"/>
  <c r="I12" i="2" s="1"/>
  <c r="G12" i="2" s="1"/>
  <c r="I21" i="2"/>
  <c r="AA21" i="2" s="1"/>
  <c r="AA18" i="2" s="1"/>
  <c r="J23" i="2"/>
  <c r="I23" i="2" s="1"/>
  <c r="G23" i="2" s="1"/>
  <c r="J30" i="2"/>
  <c r="L66" i="2"/>
  <c r="L62" i="2"/>
  <c r="L61" i="2"/>
  <c r="L60" i="2"/>
  <c r="AC60" i="2" s="1"/>
  <c r="L59" i="2"/>
  <c r="L57" i="2"/>
  <c r="L53" i="2"/>
  <c r="AC53" i="2" s="1"/>
  <c r="L48" i="2"/>
  <c r="AC48" i="2" s="1"/>
  <c r="L47" i="2"/>
  <c r="F58" i="2"/>
  <c r="K39" i="2"/>
  <c r="K7" i="2" s="1"/>
  <c r="F19" i="2"/>
  <c r="AA70" i="2" l="1"/>
  <c r="G70" i="2"/>
  <c r="AA72" i="2"/>
  <c r="AC72" i="2" s="1"/>
  <c r="G72" i="2"/>
  <c r="AC10" i="2"/>
  <c r="G10" i="2"/>
  <c r="L46" i="2"/>
  <c r="G21" i="2"/>
  <c r="I18" i="2"/>
  <c r="L25" i="3"/>
  <c r="L7" i="3" s="1"/>
  <c r="Y115" i="1"/>
  <c r="W115" i="1" s="1"/>
  <c r="K29" i="2"/>
  <c r="AB39" i="2"/>
  <c r="AB29" i="2" s="1"/>
  <c r="K68" i="1"/>
  <c r="J69" i="1"/>
  <c r="AB70" i="1" s="1"/>
  <c r="AA97" i="2"/>
  <c r="AD97" i="2" s="1"/>
  <c r="J81" i="2"/>
  <c r="I81" i="2" s="1"/>
  <c r="L67" i="2"/>
  <c r="L40" i="1"/>
  <c r="AB56" i="3"/>
  <c r="AB38" i="3" s="1"/>
  <c r="N38" i="3"/>
  <c r="J38" i="3" s="1"/>
  <c r="I38" i="3" s="1"/>
  <c r="J64" i="1"/>
  <c r="T68" i="2"/>
  <c r="I73" i="2"/>
  <c r="I78" i="2"/>
  <c r="I30" i="3"/>
  <c r="J29" i="3"/>
  <c r="I60" i="3"/>
  <c r="J59" i="3"/>
  <c r="I12" i="3"/>
  <c r="J11" i="3"/>
  <c r="J68" i="2"/>
  <c r="AC70" i="2"/>
  <c r="I9" i="2"/>
  <c r="G9" i="2" s="1"/>
  <c r="J18" i="2"/>
  <c r="J96" i="2"/>
  <c r="J66" i="2"/>
  <c r="I66" i="2" s="1"/>
  <c r="AC66" i="2"/>
  <c r="J57" i="2"/>
  <c r="I57" i="2" s="1"/>
  <c r="AC57" i="2"/>
  <c r="AC12" i="2"/>
  <c r="J48" i="2"/>
  <c r="I48" i="2" s="1"/>
  <c r="J59" i="2"/>
  <c r="I59" i="2" s="1"/>
  <c r="AC59" i="2"/>
  <c r="I30" i="2"/>
  <c r="J61" i="2"/>
  <c r="I61" i="2" s="1"/>
  <c r="AC61" i="2"/>
  <c r="AA23" i="2"/>
  <c r="AB23" i="2" s="1"/>
  <c r="J47" i="2"/>
  <c r="AC47" i="2"/>
  <c r="J62" i="2"/>
  <c r="I62" i="2" s="1"/>
  <c r="AC62" i="2"/>
  <c r="M19" i="1"/>
  <c r="J65" i="1"/>
  <c r="I65" i="1" s="1"/>
  <c r="J30" i="1"/>
  <c r="J67" i="1"/>
  <c r="I67" i="1" s="1"/>
  <c r="Z18" i="3"/>
  <c r="Z16" i="3" s="1"/>
  <c r="L19" i="3"/>
  <c r="Z19" i="3"/>
  <c r="Z81" i="3" s="1"/>
  <c r="J27" i="3"/>
  <c r="I27" i="3" s="1"/>
  <c r="G27" i="3" s="1"/>
  <c r="Z27" i="3"/>
  <c r="X27" i="3" s="1"/>
  <c r="J28" i="3"/>
  <c r="I28" i="3" s="1"/>
  <c r="G28" i="3" s="1"/>
  <c r="Z28" i="3"/>
  <c r="X28" i="3" s="1"/>
  <c r="J57" i="3"/>
  <c r="I57" i="3" s="1"/>
  <c r="X57" i="3" s="1"/>
  <c r="Z57" i="3"/>
  <c r="J21" i="3"/>
  <c r="I21" i="3" s="1"/>
  <c r="Y21" i="3"/>
  <c r="J26" i="3"/>
  <c r="I26" i="3" s="1"/>
  <c r="G26" i="3" s="1"/>
  <c r="Z26" i="3"/>
  <c r="X26" i="3" s="1"/>
  <c r="J20" i="3"/>
  <c r="I20" i="3" s="1"/>
  <c r="G20" i="3" s="1"/>
  <c r="Y20" i="3"/>
  <c r="Y47" i="3"/>
  <c r="Y38" i="3" s="1"/>
  <c r="X38" i="3" s="1"/>
  <c r="J50" i="1"/>
  <c r="I50" i="1" s="1"/>
  <c r="J56" i="1"/>
  <c r="I56" i="1" s="1"/>
  <c r="J48" i="1"/>
  <c r="I48" i="1" s="1"/>
  <c r="J57" i="1"/>
  <c r="I57" i="1" s="1"/>
  <c r="J41" i="1"/>
  <c r="I41" i="1" s="1"/>
  <c r="J74" i="1"/>
  <c r="J58" i="1"/>
  <c r="I58" i="1" s="1"/>
  <c r="J46" i="1"/>
  <c r="I46" i="1" s="1"/>
  <c r="J33" i="3"/>
  <c r="Y9" i="3"/>
  <c r="Y8" i="3" s="1"/>
  <c r="J10" i="3"/>
  <c r="I10" i="3" s="1"/>
  <c r="Z10" i="3"/>
  <c r="S32" i="3"/>
  <c r="S7" i="3" s="1"/>
  <c r="I16" i="1"/>
  <c r="J15" i="1"/>
  <c r="J16" i="3"/>
  <c r="I16" i="3" s="1"/>
  <c r="G16" i="3" s="1"/>
  <c r="K19" i="3"/>
  <c r="K7" i="3" s="1"/>
  <c r="J47" i="3"/>
  <c r="I47" i="3" s="1"/>
  <c r="X47" i="3" s="1"/>
  <c r="J72" i="1"/>
  <c r="J18" i="3"/>
  <c r="I18" i="3" s="1"/>
  <c r="J83" i="2"/>
  <c r="I83" i="2" s="1"/>
  <c r="J60" i="2"/>
  <c r="I60" i="2" s="1"/>
  <c r="J39" i="2"/>
  <c r="I39" i="2" s="1"/>
  <c r="J58" i="2"/>
  <c r="I58" i="2" s="1"/>
  <c r="G58" i="2" s="1"/>
  <c r="J53" i="2"/>
  <c r="I53" i="2" s="1"/>
  <c r="AA83" i="2" l="1"/>
  <c r="AC83" i="2" s="1"/>
  <c r="G83" i="2"/>
  <c r="AA78" i="2"/>
  <c r="AC78" i="2" s="1"/>
  <c r="G78" i="2"/>
  <c r="T82" i="2"/>
  <c r="G81" i="2"/>
  <c r="AB21" i="2"/>
  <c r="AB18" i="2"/>
  <c r="AA73" i="2"/>
  <c r="AC73" i="2" s="1"/>
  <c r="G73" i="2"/>
  <c r="X10" i="3"/>
  <c r="G10" i="3"/>
  <c r="X21" i="3"/>
  <c r="G21" i="3"/>
  <c r="X18" i="3"/>
  <c r="X16" i="3" s="1"/>
  <c r="G18" i="3"/>
  <c r="L7" i="2"/>
  <c r="AA48" i="2"/>
  <c r="G48" i="2"/>
  <c r="AA39" i="2"/>
  <c r="G39" i="2"/>
  <c r="AA57" i="2"/>
  <c r="G57" i="2"/>
  <c r="AA53" i="2"/>
  <c r="G53" i="2"/>
  <c r="AA60" i="2"/>
  <c r="G60" i="2"/>
  <c r="AA61" i="2"/>
  <c r="G61" i="2"/>
  <c r="AA66" i="2"/>
  <c r="G66" i="2"/>
  <c r="AA30" i="2"/>
  <c r="G30" i="2"/>
  <c r="I29" i="2"/>
  <c r="G29" i="2" s="1"/>
  <c r="AA62" i="2"/>
  <c r="G62" i="2"/>
  <c r="AA59" i="2"/>
  <c r="G59" i="2"/>
  <c r="X68" i="1"/>
  <c r="AB37" i="1"/>
  <c r="AB38" i="1" s="1"/>
  <c r="L19" i="1"/>
  <c r="Y19" i="3"/>
  <c r="Y7" i="3" s="1"/>
  <c r="Y68" i="1"/>
  <c r="I74" i="1"/>
  <c r="I69" i="1"/>
  <c r="I68" i="1" s="1"/>
  <c r="T81" i="2"/>
  <c r="AA81" i="2" s="1"/>
  <c r="AC81" i="2" s="1"/>
  <c r="V82" i="2"/>
  <c r="V81" i="2" s="1"/>
  <c r="I25" i="3"/>
  <c r="G25" i="3" s="1"/>
  <c r="J68" i="1"/>
  <c r="I72" i="1"/>
  <c r="Z25" i="3"/>
  <c r="X25" i="3" s="1"/>
  <c r="I33" i="3"/>
  <c r="X33" i="3" s="1"/>
  <c r="Z33" i="3" s="1"/>
  <c r="AA58" i="2"/>
  <c r="AC58" i="2" s="1"/>
  <c r="AC46" i="2" s="1"/>
  <c r="I64" i="1"/>
  <c r="J56" i="3"/>
  <c r="I56" i="3" s="1"/>
  <c r="X56" i="3" s="1"/>
  <c r="Z56" i="3" s="1"/>
  <c r="I96" i="2"/>
  <c r="G96" i="2" s="1"/>
  <c r="AA96" i="2"/>
  <c r="AD96" i="2" s="1"/>
  <c r="AD7" i="2" s="1"/>
  <c r="J40" i="1"/>
  <c r="X30" i="3"/>
  <c r="X29" i="3" s="1"/>
  <c r="I29" i="3"/>
  <c r="J25" i="3"/>
  <c r="I19" i="3"/>
  <c r="G19" i="3" s="1"/>
  <c r="U35" i="3"/>
  <c r="U7" i="3" s="1"/>
  <c r="X60" i="3"/>
  <c r="X12" i="3"/>
  <c r="X11" i="3" s="1"/>
  <c r="I11" i="3"/>
  <c r="Z8" i="3"/>
  <c r="J8" i="3"/>
  <c r="I47" i="2"/>
  <c r="J46" i="2"/>
  <c r="J29" i="2"/>
  <c r="I68" i="2"/>
  <c r="J67" i="2"/>
  <c r="I21" i="1"/>
  <c r="I30" i="1"/>
  <c r="X20" i="3"/>
  <c r="I20" i="1"/>
  <c r="J19" i="3"/>
  <c r="AA29" i="2" l="1"/>
  <c r="AA7" i="2"/>
  <c r="X19" i="3"/>
  <c r="J7" i="3"/>
  <c r="G68" i="2"/>
  <c r="G47" i="2"/>
  <c r="I46" i="2"/>
  <c r="G46" i="2" s="1"/>
  <c r="AB69" i="1"/>
  <c r="O23" i="1"/>
  <c r="J19" i="1"/>
  <c r="I19" i="1" s="1"/>
  <c r="AA47" i="2"/>
  <c r="AA46" i="2" s="1"/>
  <c r="T67" i="2"/>
  <c r="T7" i="2" s="1"/>
  <c r="AA68" i="2"/>
  <c r="Z60" i="3"/>
  <c r="Z59" i="3" s="1"/>
  <c r="X59" i="3"/>
  <c r="Z12" i="3"/>
  <c r="AC9" i="2"/>
  <c r="Z11" i="3" l="1"/>
  <c r="AC68" i="2"/>
  <c r="T69" i="2"/>
  <c r="V68" i="2"/>
  <c r="V67" i="2" s="1"/>
  <c r="V7" i="2" s="1"/>
  <c r="O32" i="3"/>
  <c r="J35" i="3"/>
  <c r="J32" i="3" s="1"/>
  <c r="V69" i="2" l="1"/>
  <c r="I35" i="3"/>
  <c r="X35" i="3" l="1"/>
  <c r="Z35" i="3" l="1"/>
  <c r="T74" i="1"/>
  <c r="T68" i="1" s="1"/>
  <c r="R76" i="1"/>
  <c r="S38" i="3"/>
  <c r="R105" i="1"/>
  <c r="Y74" i="1" l="1"/>
  <c r="W74" i="1" s="1"/>
  <c r="T76" i="1"/>
  <c r="T105" i="1"/>
  <c r="T48" i="1"/>
  <c r="AB35" i="1" s="1"/>
  <c r="R49" i="1"/>
  <c r="T49" i="1" l="1"/>
  <c r="C12" i="8" l="1"/>
  <c r="N12" i="8" l="1"/>
  <c r="N7" i="8" s="1"/>
  <c r="N6" i="8" s="1"/>
  <c r="C7" i="8"/>
  <c r="C6" i="8" s="1"/>
  <c r="O12" i="8"/>
  <c r="O7" i="8" s="1"/>
  <c r="I9" i="3"/>
  <c r="I8" i="3" s="1"/>
  <c r="R8" i="3"/>
  <c r="I7" i="3" l="1"/>
  <c r="G8" i="3"/>
  <c r="G7" i="3" s="1"/>
  <c r="X9" i="3"/>
  <c r="X8" i="3" s="1"/>
  <c r="R32" i="3"/>
  <c r="I34" i="3"/>
  <c r="X34" i="3" l="1"/>
  <c r="X7" i="3" l="1"/>
  <c r="Z34" i="3"/>
  <c r="Z32" i="3" s="1"/>
  <c r="Z7" i="3" s="1"/>
  <c r="M8" i="2"/>
  <c r="M7" i="2" s="1"/>
  <c r="N8" i="2"/>
  <c r="N7" i="2" s="1"/>
  <c r="J11" i="2"/>
  <c r="J8" i="2" s="1"/>
  <c r="J7" i="2" s="1"/>
  <c r="I11" i="2" l="1"/>
  <c r="I8" i="2" l="1"/>
  <c r="G7" i="2" l="1"/>
  <c r="I7" i="2"/>
  <c r="AC11" i="2"/>
  <c r="AC91" i="2" l="1"/>
  <c r="AA67" i="2"/>
  <c r="AC92" i="2"/>
  <c r="AC67" i="2" l="1"/>
  <c r="AC7" i="2" s="1"/>
</calcChain>
</file>

<file path=xl/sharedStrings.xml><?xml version="1.0" encoding="utf-8"?>
<sst xmlns="http://schemas.openxmlformats.org/spreadsheetml/2006/main" count="462" uniqueCount="319">
  <si>
    <t>STT</t>
  </si>
  <si>
    <t xml:space="preserve">Tổng dự toán </t>
  </si>
  <si>
    <t>Chi hoạt động an ninh</t>
  </si>
  <si>
    <t>041</t>
  </si>
  <si>
    <t>Lương, phụ cấp và các khoản đóng góp</t>
  </si>
  <si>
    <t>Chi hoạt động theo định mức biên chế</t>
  </si>
  <si>
    <t xml:space="preserve">Duy trì, nâng cấp phần mềm Misa các đơn vị dự toán của phường </t>
  </si>
  <si>
    <t xml:space="preserve">Chi hỗ trợ mua thẻ BHYT, đóng BHXH tự nguyện cho các đối tượng </t>
  </si>
  <si>
    <t>Duy trì nâng cấp phần mềm misa</t>
  </si>
  <si>
    <t xml:space="preserve">Ngày </t>
  </si>
  <si>
    <t>Nộp quỹ PCTT năm 2025</t>
  </si>
  <si>
    <t>Nội dung</t>
  </si>
  <si>
    <t>Số tiền</t>
  </si>
  <si>
    <t xml:space="preserve">KP tổ chức kỳ họp thứ nhất, thứ hai, TX cử tri và hoạt động chung của HĐND phường </t>
  </si>
  <si>
    <t>Kinh phí triển khai lập đề án phân loại đơn vị hành chính phường Đường Hào, tỉnh Hưng Yên</t>
  </si>
  <si>
    <t>Mua sắm thiết bị máy tính cho cán bộ, công chức, viên chức của các phòng, cơ quan chuyển môn</t>
  </si>
  <si>
    <t>Mua sắm thiết bị đầu cuối kết nối hệ thống mạng TSLCD phục vụ gửi, nhận văn bản và xử lý hồ sơ mật, tối mật</t>
  </si>
  <si>
    <t>Kinh phí thực hiện tuyên truyền Tổng điều tra kinh tế năm 2026</t>
  </si>
  <si>
    <t xml:space="preserve">Trợ cấp hưu trí theo Nghị định 176/2025/NĐ-CP ngày 30/6/2025 của Chính phủ </t>
  </si>
  <si>
    <t>C</t>
  </si>
  <si>
    <t>L</t>
  </si>
  <si>
    <t>K</t>
  </si>
  <si>
    <t xml:space="preserve">Nội dung </t>
  </si>
  <si>
    <t>Nguồn 13</t>
  </si>
  <si>
    <t>Nguồn 12</t>
  </si>
  <si>
    <t>Nguồn 18</t>
  </si>
  <si>
    <t>Nguồn 28</t>
  </si>
  <si>
    <t>Dự toán đã sử dụng năm 2026</t>
  </si>
  <si>
    <t>Dự toán còn lại năm 2026</t>
  </si>
  <si>
    <t>Tổng dự toán năm 2026, trong đó:</t>
  </si>
  <si>
    <t xml:space="preserve">Tổng dự toán giao đầu năm và bổ sung </t>
  </si>
  <si>
    <t xml:space="preserve">Tổng dự toán giao </t>
  </si>
  <si>
    <t xml:space="preserve">Tổng Dự toán bổ sung </t>
  </si>
  <si>
    <t xml:space="preserve">Tổng dự toán đã sử dụng </t>
  </si>
  <si>
    <t xml:space="preserve">Tổng dự toán còn lại </t>
  </si>
  <si>
    <t xml:space="preserve"> - Hỗ trợ mua thẻ BHYT cho đối tượng trẻ em dưới 6 tuổi </t>
  </si>
  <si>
    <t xml:space="preserve"> - Hỗ trợ BHYT học sinh - sinh viên</t>
  </si>
  <si>
    <t xml:space="preserve"> - Hỗ trợ mua thẻ BHYT cho đối tượng theo Nghị định số 20/2021/NĐ-CP, số 76/2024/NĐ-CP của Chính phủ</t>
  </si>
  <si>
    <t xml:space="preserve"> - Hỗ trợ mua thẻ BHYT cho đối tượng Cựu chiến binh, thanh niên xung phong, dân công hỏa tuyến, tham gia kháng chiến</t>
  </si>
  <si>
    <t>098</t>
  </si>
  <si>
    <t>Sự nghiệp Giáo dục &amp; Đào tạo và dạy nghề</t>
  </si>
  <si>
    <t xml:space="preserve"> - Chi hoạt động sự nghiệp giáo dục xã, phường (bao gồm cả công tác khuyến học và hoạt động của Trung tâm học tập cộng đồng và các nội dung chi khác)</t>
  </si>
  <si>
    <t xml:space="preserve">Hoạt động của Trung tâm cộng đồng </t>
  </si>
  <si>
    <t>Công tác khuyến học</t>
  </si>
  <si>
    <t xml:space="preserve"> - Chi tăng cường cơ sở vật chất Trung tâm học tập cộng đồng</t>
  </si>
  <si>
    <t>070</t>
  </si>
  <si>
    <t>Quản lý hành chính nhà nước, đảng, đoàn thể</t>
  </si>
  <si>
    <t>Chi cơ bản và hoạt động thường xuyên theo định mức biên chế</t>
  </si>
  <si>
    <t>Các hoạt động không tự chủ</t>
  </si>
  <si>
    <t>- Hoạt động an toàn vệ sinh lao động</t>
  </si>
  <si>
    <t>- Lễ dâng hương liệt sĩ 27/7 và tết nguyên đán 
(Khu di tích Nguyễn Thiện Thuật, Nguyễn Thị Kính, Đài tưởng niệm TDP)</t>
  </si>
  <si>
    <t>Duy trì, bảo vệ khai thác giá trị văn hóa di tích lịch sử quốc gia , khu lưu niện tướng quân Nguyễn Thiện Thuật</t>
  </si>
  <si>
    <t>- Hoạt động của Ban chỉ đạo chuyển đổi số</t>
  </si>
  <si>
    <t>- Hoạt động gia đình</t>
  </si>
  <si>
    <t>- Hội thi gia đình Hạnh phúc</t>
  </si>
  <si>
    <t>- Hội nghị điển hình tiên tiến thi đua yêu nước</t>
  </si>
  <si>
    <t>- Hoạt động tôn giáo</t>
  </si>
  <si>
    <t>- Thẩm định chính quyền trong sạch vững mạnh</t>
  </si>
  <si>
    <t xml:space="preserve">Tổng </t>
  </si>
  <si>
    <t>Sự nghiệp bảo đảm xã hội</t>
  </si>
  <si>
    <t xml:space="preserve"> - Trợ cấp các đối tượng bảo trợ xã hội theo 
Nghị định số 20/2021/NĐ-CP, số 76/2024/NĐ-CP của Chính phủ</t>
  </si>
  <si>
    <t xml:space="preserve"> - Mai táng phí theo Nghị định số 20/2021/NĐ-CP, số 76/2024/NĐ-CP của Chính phủ</t>
  </si>
  <si>
    <t xml:space="preserve"> - Hỗ trợ tiền điện hộ chính sách theo 
Quyết định số 14/2025/QĐ-TTg ngày 29/5/2025 của Thủ tướng Chính phủ</t>
  </si>
  <si>
    <t xml:space="preserve"> - Mai táng phí cho đối tượng Cựu chiến binh, dân công hỏa tuyến theo Thông tư số 03/2020/TT-BLĐTBXH</t>
  </si>
  <si>
    <t xml:space="preserve"> - Trợ cấp cựu thanh niên xung phong theo 
Quyết định số 40/2011/QĐ-TTg, số 29/2016/QĐ-TTg</t>
  </si>
  <si>
    <t xml:space="preserve"> - KP tặng quà tết, quà 27/7 cho đối tượng chính sách</t>
  </si>
  <si>
    <t xml:space="preserve"> - Chi hoạt động sự nghiệp</t>
  </si>
  <si>
    <t>CHI BỔ SUNG CÓ MỤC TIÊU TỪ NGÂN SÁCH TỈNH</t>
  </si>
  <si>
    <t>Kinh phí đóng bảo hiểm y tế cho Người có công với cách mạng, người phục vụ người có công với cách mạng do ngân sách nhà nước đảm bảo</t>
  </si>
  <si>
    <t>Kinh phí thực hiện  chính sách ,chế độ ưu đãi người có công với cách mạng</t>
  </si>
  <si>
    <t>Chi trợ cấp ưu đãi theo pháp lệnh ưu đãi Người có công với cách mạng và pháp lệnh bà mẹ Việt Nam anh hùng gồm chi các loại trợ cấp thường xuyên và trợ cấp một lần, cấp phương tiện trợ cấp dụng chỉnh hình, phương tiện, thiết bị phục hồi chức năng, điều trị điều dưỡng</t>
  </si>
  <si>
    <t>Nguồn 17</t>
  </si>
  <si>
    <t>Nguồn 29</t>
  </si>
  <si>
    <t>Sự nghiệp nông nghiệp và dịch vụ nông nghiệp</t>
  </si>
  <si>
    <t>Sự nghiệp thủy lợi và dịch vụ thủy lợi</t>
  </si>
  <si>
    <t>Sự nghiệp khoa học, công nghệ, đổi mới sáng tạo và chuyển đổi số</t>
  </si>
  <si>
    <t>Phần mềm phục vụ công tác tài chính</t>
  </si>
  <si>
    <t>Sự nghiệp y tế, dân số và gia đình</t>
  </si>
  <si>
    <t xml:space="preserve"> - Hỗ trợ mua thẻ BHYT cho đối tượng người nghèo</t>
  </si>
  <si>
    <t xml:space="preserve"> - Hỗ trợ mua thẻ BHYT cho đối tượng thuộc hộ cận nghèo</t>
  </si>
  <si>
    <t xml:space="preserve"> - Hỗ trợ mua thẻ BHYT cho đối tượng người thuộc hộ gia đình 
nông nghiệp, ngư nghiệp có mức sống trung bình</t>
  </si>
  <si>
    <t>Chi hoạt động chung</t>
  </si>
  <si>
    <t xml:space="preserve">Hoạt động  của BCH phòng thủ dân sự </t>
  </si>
  <si>
    <t xml:space="preserve"> - Hỗ trợ tiền điện hộ nghèo theo 
Quyết định số 14/2025/QĐ-TTg ngày 29/5/2025 của Thủ tướng Chính phủ</t>
  </si>
  <si>
    <t>040</t>
  </si>
  <si>
    <t>An ninh và trật tự an toàn xã hội</t>
  </si>
  <si>
    <t xml:space="preserve">Sự nghiệp khoa học, công nghệ, đổi mới sáng tạo và chuyển đổi số </t>
  </si>
  <si>
    <t xml:space="preserve">Phần mềm quản lý tài sản </t>
  </si>
  <si>
    <t>Quản lý hành chính nhà nước</t>
  </si>
  <si>
    <t>Sửa chữa ô tô, bảo hiểm , phí đường bộ, kiểm định xe ô tô, 
chi phí xăng dầu, thuê lái xe</t>
  </si>
  <si>
    <t xml:space="preserve">Tiền thuê NV dọn vệ sinh, bảo vệ, nấu bếp ăn ; Tiền dịch vụ bảo vệ </t>
  </si>
  <si>
    <t>UBND duy trì hệ thống mạng nội bộ</t>
  </si>
  <si>
    <t>Duy trì hoạt động, nâng cấp, sửa chữa cơ sở vật chất cơ quan; phòng truyền thống</t>
  </si>
  <si>
    <t>Chế độ tiếp công dân, xử lý đơn thư khiếu nại, tố cáo ( Thông tư 320/2016 của BTC)</t>
  </si>
  <si>
    <t>Hỗ trợ cán bộ công chức trực làm công tác tiếp công dân và chi hoạt động của ban tiếp công dân</t>
  </si>
  <si>
    <t>Xây dựng, rà soát, phổ biến giáo dục pháp luật</t>
  </si>
  <si>
    <t>Hỗ trợ công tác hòa giải</t>
  </si>
  <si>
    <t xml:space="preserve"> - Chi hoạt động thanh tra nhân dân của Ban Thanh tra nhân dân xã, phường</t>
  </si>
  <si>
    <t>Hội đồng nhân dân</t>
  </si>
  <si>
    <t xml:space="preserve"> - Phụ cấp đại biểu HĐND (đã bao gồm phụ cấp kiêm nhiệm theo
 Nghị quyết số 778/2025/NQ-HĐND của HĐND tỉnh)</t>
  </si>
  <si>
    <t xml:space="preserve"> - Chi trang phục và khám sức khỏe định kỳ theo 
Nghị quyết số 778/2025/NQ-HĐND của HĐND tỉnh</t>
  </si>
  <si>
    <t xml:space="preserve"> - Chi hoạt động Hội đồng nhân dân 
(bao gồm cả kinh phí phục vụ các kỳ họp, tiếp xúc cử tri)</t>
  </si>
  <si>
    <t xml:space="preserve">Chi phụ cấp hằng tháng cho các đối tượng già yếu nghỉ việc, không chuyển trách cấp xã, thôn, TDP, người trực làm việc tại các thôn, TDP </t>
  </si>
  <si>
    <t>BSKP thực hiện hoạt động trang trí tại các tuyến đường chính TDP nhân dịp tết nguyên đán 2026</t>
  </si>
  <si>
    <t>Ngân sách tỉnh bổ sung có mục tiêu năm 2026 cho các xã, phường để hỗ trợ thường xuyên hàng tháng cho thành viên Tổ bảo vệ an ninh, trật tự</t>
  </si>
  <si>
    <t>Ngân sách tỉnh bổ sung có mục tiêu cho các xã, phường để thực hiện tặng quà chúc thọ, mừng thọ người cao tuôi năm 2026</t>
  </si>
  <si>
    <t>BSKP thực hiện chỉnh trang khuôn viên đón Tết nguyên đán Bính Ngọ năm 2026 và thực hiện các hoạt động chung của UBND phường năm 2026</t>
  </si>
  <si>
    <t xml:space="preserve">Bổ sung kinh phí tổ chức Kỳ họp tổng kết hoạt động HĐND phường Đường Hào, khoá I nhiệm kỳ 2021 - 2026 </t>
  </si>
  <si>
    <t>Bổ sung kinh phí mua thuốc diệt chuột phục vụ sản xuất vụ Xuân năm 2026</t>
  </si>
  <si>
    <t>Câp kinh phí hoạt động bầu cử đại biểu Quốc hội và bầu cử đại biểu HĐND các cấp nhiệm kỳ 2026 - 2031</t>
  </si>
  <si>
    <t xml:space="preserve">Bổ sung kinh phí cho VP để thực hiện chế độ chính sách cho cán bộ, CCVC, người hoạt động không chuyên trách cấp xã theo nghị định 154/2025/NĐ-CP </t>
  </si>
  <si>
    <t xml:space="preserve">BSKP duy trì hoạt động sử dụng điện, nước sạch và thuê máy phô tô </t>
  </si>
  <si>
    <t xml:space="preserve"> - Hỗ trợ mua thẻ BHYT cho đối tượng người thuộc hộ nghèo, hộ cận nghèo, hộ có mức sống trung bình, người tham gia tổ thu gom rác năm 2026</t>
  </si>
  <si>
    <t>Điều chỉnh dự toán hoạt động bầu cử đại biểu Quốc hội và bầu cử đại biểu HĐND các cấp nhiệm kỳ 2026 - 2031</t>
  </si>
  <si>
    <t>Kinh phí thi đua khen thưởng năm 2026</t>
  </si>
  <si>
    <t xml:space="preserve">Kinh phí đào tạo tập huấn cán bộ, công chức, viên chức về chuyển đổi số </t>
  </si>
  <si>
    <t xml:space="preserve">Kinh phí hỗ trợ đóng BHXH tự nguyện </t>
  </si>
  <si>
    <t xml:space="preserve">Hỗ trợ kính phí mua thẻ BHYT cho đối tượng người từ 60 tuổi đến dưới 75 tuổi </t>
  </si>
  <si>
    <t xml:space="preserve">Hỗ trợ đóng BHYT cho đối tượng khuyết tật nhẹ </t>
  </si>
  <si>
    <t xml:space="preserve">Hỗ trợ đóng BHYT cho người đang hưởng trợ cấp hưu trí xã hội hàng tháng theo quy định của pháp luật về BHXH </t>
  </si>
  <si>
    <t xml:space="preserve">Hỗ trợ đóng BHYT cho người hiến tạng </t>
  </si>
  <si>
    <t xml:space="preserve">Kinh phí mua sắm, lắp đặt màn hình Led tại phòng họp tầng 2 UBND phường </t>
  </si>
  <si>
    <t>Kinh phí sửa chữa nội thất tại phòng họp tầng 2 UBND phường</t>
  </si>
  <si>
    <t xml:space="preserve">Kinh phí thực hiện giải toả các công trình xây dựng trái phép trên đất nông nghiệp </t>
  </si>
  <si>
    <t xml:space="preserve">Kinh phí tổ chức các hoạt động hưởng ứng Ngày quyền của Người tiêu dùng Việt Nam năm 2026 </t>
  </si>
  <si>
    <t>Dự toán năm trước chuyển sang</t>
  </si>
  <si>
    <t xml:space="preserve">PHỤ LỤC 01 </t>
  </si>
  <si>
    <t xml:space="preserve">Dự toán năm trước chuyển sang </t>
  </si>
  <si>
    <t xml:space="preserve"> - Duy tu, sửa chữa hệ thống điện chiếu sáng 1 số đường điện chiếu sáng </t>
  </si>
  <si>
    <t xml:space="preserve"> - Chi sửa cánh phai tại một số cống tiêu thoát nước trên địa bàn phường </t>
  </si>
  <si>
    <t xml:space="preserve"> - Lắp đặt, nâng cấp sửa chữa biển báo chỉ dẫn, biển địa giới hành chính </t>
  </si>
  <si>
    <t xml:space="preserve"> - Cấp bù học phí cho học sinh tốt nghiệp THCS học tiếp lên trình độ trung cấp theo Nghị định 81, 239 (bổ sung lần 2), Hỗ trợ theo Nghị định 797/2025/NQ-HĐND </t>
  </si>
  <si>
    <t>PHỤ LỤC 02</t>
  </si>
  <si>
    <t>PHỤ LỤC 03</t>
  </si>
  <si>
    <t>TM</t>
  </si>
  <si>
    <t xml:space="preserve">Chi hỗ trợ hàng tháng cho Tổ an ninh trật tự </t>
  </si>
  <si>
    <t xml:space="preserve">Chi bảo hiểm y tế tổ ANTT </t>
  </si>
  <si>
    <t>Chuyển tiền phần mềm quản lý tài sản Misa</t>
  </si>
  <si>
    <t>Chuyển tiền dich vụ cung cấp hỗ trợ và bảo trì phần mềm tổng hợp tài chính</t>
  </si>
  <si>
    <t xml:space="preserve">Chuyển tiền mua máy quét HP, máy tính cây phục vụ gửi, nhận văn bản và xử lý hồ sơ mật, tối mật của UBND phường </t>
  </si>
  <si>
    <t xml:space="preserve">Chi mua thuốc diệt chuột </t>
  </si>
  <si>
    <t>Chuyển tiền mua đất, mua cây, bảo dưỡng cây, cổng khẩu hiệu,...để trồng cây dịp Lễ phát động Tết trồng cây xuân Bính Ngọ năm 2026</t>
  </si>
  <si>
    <t>Chuyển tiền thuê nhân công phun chế phẩm tiêu dộc khử trùng chăn nuôi</t>
  </si>
  <si>
    <t xml:space="preserve">Chuyển tiền điện chiếu sáng các tuyến đường trên địa bàn phường </t>
  </si>
  <si>
    <t>Chuyển tiền khen thưởng cho các cá nhân có thành tích đột xuất trong cao điểm trấn áp tội phạm trên địa bàn phường</t>
  </si>
  <si>
    <t xml:space="preserve">Chuyển tiền khen thưởng cho các tập thể, cá nhân trên địa bàn phường </t>
  </si>
  <si>
    <t xml:space="preserve">Chuyển tiền điện tại di tích </t>
  </si>
  <si>
    <t xml:space="preserve">Chuyển tiền đổ xăng xe công tại UBND  phường </t>
  </si>
  <si>
    <t>Chuyển tiền mua văn phòng phẩm phục vụ hoạt động chung của UBND phường năm 2026</t>
  </si>
  <si>
    <t xml:space="preserve">Chuyển tiền mua văn phòng phẩm hoạt động chung Thường trực HĐND, các Ban HĐND phường </t>
  </si>
  <si>
    <t xml:space="preserve">Chuyển tiền khắc dấu mật của UBND phường </t>
  </si>
  <si>
    <t xml:space="preserve">Chuyển tiền mua thảm nỉ Hội trường UBND phường </t>
  </si>
  <si>
    <t>Chuyển tiền mạng internet</t>
  </si>
  <si>
    <t>Chuyển tiền in băng rôn tuyên truyền Luật bình đẳng giới năm 2026</t>
  </si>
  <si>
    <t>Chuyển tiền in băng rôn tuyên truyền Tổng điều tra kinh tế năm 2026</t>
  </si>
  <si>
    <t>Chuyển tiền in băng rôn tuyên truyền hưởng ứng Ngày Quyền của người tiêu dùng Việt Nam năm 2026</t>
  </si>
  <si>
    <t>Chuyển tiền in băng rôn khẩu hiệu tuyên truyền giải toả vi phạm trên đất nông nghiệp</t>
  </si>
  <si>
    <t>Chuyển tiền in tờ rơi tuyên truyền giải toả vi phạm trên đất nông nghiệp</t>
  </si>
  <si>
    <t>Chuyển tiền in tài liệu phục vụ lớp tập huấn tuyên truyền PB GDPL năm 2026</t>
  </si>
  <si>
    <t>Chuyển tiền in tài liệu, mua sách viết đại biểu Hội nghị tuyên truyền phổ biến Luật bình đằng giới năm 2026</t>
  </si>
  <si>
    <t xml:space="preserve"> Tiền chi thù lao giảng viên Hội nghị tập huấn tuyên truyền PBGDPL năm 2026</t>
  </si>
  <si>
    <t>Chi thù lao giảng viên Hội nghị tập huấn tuyên truyền phổ biến Luật bình đẳng giới năm 2026</t>
  </si>
  <si>
    <t>Chuyển tiền mua nước uống, hao tươi, sách tài liệu đại biểu lớp tập huấn tuyên truyền PB GDPL năm 2026</t>
  </si>
  <si>
    <t>Chuyển tiền cước vận chuyển xe đưa đón đoàn đi dâng hương nhân dịp Tết Nguyên đán 2026</t>
  </si>
  <si>
    <t>Chuyển tiền thuê xe tuyên truyền Tổng điều tra kinh tế năm 2026</t>
  </si>
  <si>
    <t>Chuyển tiền thuê xe lưu động tuyên truyền hưởng ứng Ngày Quyền của người tiêu dùng Việt Nam năm 2026</t>
  </si>
  <si>
    <t>Chuyển tiền thuê xe, máy xúc phục vụ công tác giải toả vi phạm XD CT trái phép trên đất nông nghiệp</t>
  </si>
  <si>
    <t>Chuyển tiền thuê xe vận chuyển phục vụ công tác giải toả vi phạm XD CT trái phép trên đất nông nghiệp</t>
  </si>
  <si>
    <t xml:space="preserve">Chuyển tiền chi thuê NV dọn vệ sinh, bảo vệ, nấu bếp ăn ; Tiền dịch vụ bảo vệ </t>
  </si>
  <si>
    <t xml:space="preserve">Chuyển tiền thuê lái xe công UBND phường </t>
  </si>
  <si>
    <t xml:space="preserve">Chuyển tiền công bảo vệ, dọn dẹp trông nom di tích </t>
  </si>
  <si>
    <t>Chuyển tiền thuê cẩu vật tư phục vụ công tác giải toả vi phạm XD CT trái phép trên đất nông nghiệp</t>
  </si>
  <si>
    <t>Chuyển tiền sửa chữa, bảo dưỡng xe ô tô dùng chung của UBND phường năm 2026</t>
  </si>
  <si>
    <t xml:space="preserve">Chuyển tiền thanh toán bảo dưỡng điều hoà phục vụ UBND phường </t>
  </si>
  <si>
    <t xml:space="preserve">Chuyển tiền sửa chữa nội thất (ốp vách, chân đế, bọc lại đệm ghế) phòng hợp tầng 2 UBND phường </t>
  </si>
  <si>
    <t>6913</t>
  </si>
  <si>
    <t xml:space="preserve">Chuyển tiền mua màn hình Led phục vụ phòng Họp UBND phường </t>
  </si>
  <si>
    <t>Chuyển tiền mua đồ dùng, trang thiết bị phục vụ công tác giải toả vi phạm XD CT trái phép trên đất nông nghiệp</t>
  </si>
  <si>
    <t xml:space="preserve">Chuyển tiền chi tổ chức kỳ họp thứ nhất HĐND phường </t>
  </si>
  <si>
    <t xml:space="preserve">Chuyển tiền tổ chức kỳ họp tổng kết HĐND phường </t>
  </si>
  <si>
    <t xml:space="preserve"> chi phí kiểm định xe ô tô dùng chung của UBND phường </t>
  </si>
  <si>
    <t>Chuyển tiền mua cây, hoa trang trí tại các tuyến đường chính Tổ dân phố nhân dịp tết nguyên đán năm 2026</t>
  </si>
  <si>
    <t>Chuyển tiền mua cây, hoa trang trí tại trụ sở UBND phường nhân dịp Tết Nguyên đán Bính Ngọ năm 2026</t>
  </si>
  <si>
    <t>Chuyển tiền mua bánh, kẹo, nước uống, túi quà tết phục vụ công tác đón Giao thừa và gặp mặt đầu xuân Tết Nguyên Đán Bính Ngọ năm 2026</t>
  </si>
  <si>
    <t>Chuyển tiền mua chậu trồng cây tại các tuyến đường chính nhân dịp Tết Nguyên đán 2026</t>
  </si>
  <si>
    <t>Chuyển tiền in thiếp chúc mừng năm mới phục vụ Tết Nguyên đán Bính Ngọ 2026</t>
  </si>
  <si>
    <t>Chuyển tiền mua hoa tươi, quả trang trí phòng truyền thống nhân dịp Tết Nguyên đán và xuân Bính Ngọ năm 2026</t>
  </si>
  <si>
    <t>Chuyển tiền mua hoa tươi, vòng hoa dẫn lễ tại di tích Nguyễn Thiện Thuật, lãng cụ Kính, nghĩa trang liệt sỹ các tổ dân phố nhân dịp Tết Nguyên đán 2026</t>
  </si>
  <si>
    <t>Chuyển tiền mua lễ quả, hương, nước dâng hương tại di tích và nghĩa trang liệt sĩ nhân dịp Tết Nguyên đán 2026</t>
  </si>
  <si>
    <t>Chuyển tiền mua cây đào trang trí tại di tích NTT và lăng cụ kính nhân dịp Tết Nguyên đán 2026</t>
  </si>
  <si>
    <t xml:space="preserve"> - Chuyển tiền mua đệm bông ghế tiếp khách UBND phường</t>
  </si>
  <si>
    <t>Chuyển tiền mua hoa tươi chúc mừng đại hội Quỹ tín dụng nhân dân Bạch Sam năm 2026</t>
  </si>
  <si>
    <t>Chuyển tiền mua vòng hoa, lễ hoa quả dâng hương Di tích và Chùa Sùng Bảo dự lễ hội truyền thống Chùa Sùng Bảo</t>
  </si>
  <si>
    <t>Chuyển tiền mua hoa tươi chúc mừng Khánh thành nhà máy mới System, thành lập đoàn TNCS HCM 26/3/2026</t>
  </si>
  <si>
    <t xml:space="preserve">Chuyển tiền thanh toán chè uống, nước uống phục vụ UBND phường </t>
  </si>
  <si>
    <t>Chuyển tiền thuê cắt tỉa cây xanh trục chính, chăm sóc cây hoa khuôn viên trong ngoài trụ sở UBND phường Đường Hào</t>
  </si>
  <si>
    <t xml:space="preserve">Chuyển tiền thuê phun chế phẩm diệt muỗi, côn trùng toàn bộ trụ sở UBND phường Đường Hào </t>
  </si>
  <si>
    <t xml:space="preserve">Chuyển tiền mua hoa, quả dâng lễ cắt băng khánh thành nhà mẫu Chùa Quang Minh </t>
  </si>
  <si>
    <t xml:space="preserve">Chuyển tiền mua hoa lễ dâng lễ di tích Nguyễn Thiện Thuật nhân ngày giỗ Tướng quân Nguyễn Thiện Thuật </t>
  </si>
  <si>
    <t xml:space="preserve">Chuyển tiền hỗ trợ họp hội đồng xác đinh mức độ khuyết tật, rà soát, thẩm định hồ sơ TCXH </t>
  </si>
  <si>
    <t>Chuyển tiền mua văn phòng phẩm, nước uống phục vụ công tác đảm bảo xã hội năm 2026</t>
  </si>
  <si>
    <t xml:space="preserve"> - Trợ cấp cựu thanh niên xung phong </t>
  </si>
  <si>
    <t xml:space="preserve">Chuyển tiền trợ cấp mai táng phí cho đối tượng CCB, dân công hoả tuyến </t>
  </si>
  <si>
    <t>Trợ cấp MTP</t>
  </si>
  <si>
    <t>Trợ cấp MTP CCB</t>
  </si>
  <si>
    <t xml:space="preserve">Chi trợ cấp đối tượng BTXH hàng tháng </t>
  </si>
  <si>
    <t>Chi trợ cấp MTP đối tượng BTXH</t>
  </si>
  <si>
    <t xml:space="preserve">Trợ cấp MTP đối tượng BTXH </t>
  </si>
  <si>
    <t xml:space="preserve">Quà chúc thọ, mừng thọ </t>
  </si>
  <si>
    <t>Chi quà cho hộ nghèo nhân dịp tết nguyên đán năm 2026</t>
  </si>
  <si>
    <t xml:space="preserve">Thanh toán chứng thư số và nước uống bảo trợ </t>
  </si>
  <si>
    <t>Chuyển tiền lắp đặt nội thất trung tâm học tập cộng đồng phường Đường Hào</t>
  </si>
  <si>
    <t>Chi sửa chữa thiết bị công nghệ (máy tính) tại trung tâm học tập cộng đồng phường Đường Hào</t>
  </si>
  <si>
    <t>Chuyển tiền mua tủ tài liệu phục vụ hoạt động chuyên môn của trung tâm học tập cộng đồng phường Đường Hào</t>
  </si>
  <si>
    <t xml:space="preserve">Chi tổ chức giải thể thao học sinh trên địa bàn phường </t>
  </si>
  <si>
    <t xml:space="preserve">Chi lương CBCC phòng văn hoá xã hội </t>
  </si>
  <si>
    <t>Chi lương CBCC văn phòng HĐND và UBND</t>
  </si>
  <si>
    <t xml:space="preserve">Chi phụ cấp chức vụ CBCC Văn phòng HĐND và UBND </t>
  </si>
  <si>
    <t xml:space="preserve">Chi phụ cấp chức vụ CBCC phòng Văn hoá xã hội </t>
  </si>
  <si>
    <t>Chi lương CBCC phòng KTHTĐT</t>
  </si>
  <si>
    <t>Chi phụ cấp chức vụ CBCC phòng KTHTĐT</t>
  </si>
  <si>
    <t xml:space="preserve">Chi làm thêm giờ CBCC văn phòng </t>
  </si>
  <si>
    <t xml:space="preserve">Chi phụ cấp đại biểu HĐND và tổ trưởng, tổ phó tổ HĐND </t>
  </si>
  <si>
    <t>Chi phụ cấp thâm niên vượt khung</t>
  </si>
  <si>
    <t xml:space="preserve">Chi phụ cấp công vụ </t>
  </si>
  <si>
    <t xml:space="preserve">Chi phúc lợi tập thể </t>
  </si>
  <si>
    <t>Chi BHXH cho CBCC</t>
  </si>
  <si>
    <t>Chi BHXH cho các đối tượng CBKCT</t>
  </si>
  <si>
    <t>Chi BHYT CBCC</t>
  </si>
  <si>
    <t>Chi BHYT các đối tượng CB già yếu, KCT, TDP,…</t>
  </si>
  <si>
    <t>Các khoản đóng góp khác</t>
  </si>
  <si>
    <t xml:space="preserve">Chuyển tiền phụ cấp CB KCT </t>
  </si>
  <si>
    <t xml:space="preserve">Chi tiền điện </t>
  </si>
  <si>
    <t xml:space="preserve">Chi tiền nước sạch </t>
  </si>
  <si>
    <t xml:space="preserve">Chi mua VPP </t>
  </si>
  <si>
    <t>Chi mua VPP</t>
  </si>
  <si>
    <t xml:space="preserve">Chi khoán công tác phí </t>
  </si>
  <si>
    <t xml:space="preserve">Khoán công tác phí </t>
  </si>
  <si>
    <t xml:space="preserve">Chi thuê máy phô tô </t>
  </si>
  <si>
    <t>Chi sửa chữa, bảo dưỡng máy tính, máy in,…</t>
  </si>
  <si>
    <t>Chi  bảo dưỡng điều hoà</t>
  </si>
  <si>
    <t xml:space="preserve">Chi tiền mua sách, tài liệu hướng dẫn công tác kế toán </t>
  </si>
  <si>
    <t>Chi trợ cấp CB già yếu nghỉ việc</t>
  </si>
  <si>
    <t xml:space="preserve">Chi  mua hoa tươi, nước uống, chè </t>
  </si>
  <si>
    <t xml:space="preserve">Chi mua chè uống </t>
  </si>
  <si>
    <t xml:space="preserve">Chi mua nước uống </t>
  </si>
  <si>
    <t>Chi trợ cấp hàng tháng, MTP đối tượng  NCC</t>
  </si>
  <si>
    <t xml:space="preserve">Kinh phí ăn thêm ngày lễ tết </t>
  </si>
  <si>
    <t>Chi trợ cấp 1 lần, MTP</t>
  </si>
  <si>
    <t xml:space="preserve">Chi trợ cấp kinh phí phương tiện trợ giúp </t>
  </si>
  <si>
    <t>Chi quà  của chủ tịch nước, của tỉnh nhân dịp tết Nguyên đán 2026</t>
  </si>
  <si>
    <t>Chi mua VPP, làm thêm giờ phục vụ công tác QLHC</t>
  </si>
  <si>
    <t xml:space="preserve">Chi điều dưỡng tại nhà </t>
  </si>
  <si>
    <t xml:space="preserve">Chi trợ cấp ưu đãi giáo dục </t>
  </si>
  <si>
    <t xml:space="preserve">Chuyển tiền mua hoa, quả dâng lễ chúc mừng đại lễ phật đản và an cư </t>
  </si>
  <si>
    <t xml:space="preserve">Chuyển tiền mua hoa, quả dâng lễ chúc mừng chức sắc,.. </t>
  </si>
  <si>
    <t xml:space="preserve">Chuyển tiền BHYT HĐND </t>
  </si>
  <si>
    <t>Chuyển tiền mua đồ dùng (cốc, khay đựng, siêu, kéo, lọ lục bình,...) phục vụ chung UBND và phòng truyền thống</t>
  </si>
  <si>
    <t xml:space="preserve"> - Trang trí khánh tiết các tổ dân phố</t>
  </si>
  <si>
    <t xml:space="preserve">Chuyển tiền mua đồ dùng vệ sinh (giấy vệ sinh, chổi lau, khăn mặt, nước lau kính,...) phục vụ công tác vệ sinh môi trường UBND  </t>
  </si>
  <si>
    <t>Chuyển tiền thuê máy phô tô phục vụ hoạt động chung của phòng</t>
  </si>
  <si>
    <t>Phụ cấp trách nhiệm nghề (kế toán)</t>
  </si>
  <si>
    <t>Chi phụ cấp trách nhiệm nghề (kế toán trưởng)</t>
  </si>
  <si>
    <t xml:space="preserve">Cước chuyển phát nhanh </t>
  </si>
  <si>
    <t xml:space="preserve">Mua sách hướng dẫn, tài liệu phục vụ công tác kế toán </t>
  </si>
  <si>
    <t>Chi quà tặng của tỉnh cho người có công, gia đình chính sách nhân 27.7.2026</t>
  </si>
  <si>
    <t>Mua kệ, giá để tài liệu</t>
  </si>
  <si>
    <t>Chi làm thêm giờ CBCC</t>
  </si>
  <si>
    <t>Chi tiền làm thêm giờ cho CBCC</t>
  </si>
  <si>
    <t>PHÒNG KINH TẾ, HẠ TẦNG VÀ ĐÔ THỊ</t>
  </si>
  <si>
    <t xml:space="preserve">VĂN PHÒNG HĐND VÀN UBND </t>
  </si>
  <si>
    <t>PHÒNG VĂN HOÁ XÃ HỘI</t>
  </si>
  <si>
    <t>BSKP thực hiện chế độ chính sách cho cán bộ, công chức, viên chức, người hoạt động không chuyên trách cấp xã theo Nghị định 154/2025/NĐ-CP ngày 15/6/2025 của Chính phủ</t>
  </si>
  <si>
    <t>BSKP thực hiện Quyết định số 09-QĐ/TW và Nghi định số 07/2026/NĐ-CP ngày 10/01/2026 của Chính phủ</t>
  </si>
  <si>
    <t>Bổ sung kinh phí có mục tiêu cho xã, phường để thực hiện tặng quà cho hộ nghèo dịp Tết Nguyên đán Bính Ngọ năm 2026</t>
  </si>
  <si>
    <t>Phân bổ KP thực hiện Nghị định 238/2025/NĐ-CP ngày 03/9/2025 về chính sách học phí, miễn giảm, hỗ trợ học phí, hỗ trợ chi phí học tập và giá dịch vụ trong lĩnh vực giáo dục</t>
  </si>
  <si>
    <t>Chuyển tiền lắp đặt công tơ 3 pha (đường điện chiếu sáng)</t>
  </si>
  <si>
    <t>Chuyển tiền gia hạn duy trì phần mềm kế toán Misa Mimosa Online hàng năm (Văn phòng)</t>
  </si>
  <si>
    <t xml:space="preserve">Chuyển tiền chi thực hiện Nghị định 238/2025/NĐ-CP </t>
  </si>
  <si>
    <t>Chi phụ cấp trách nhiệm nghề (kế toán)</t>
  </si>
  <si>
    <t xml:space="preserve">Chuyển tiền may trang phục đại biểu HĐND phường </t>
  </si>
  <si>
    <t xml:space="preserve">Chuyển tiền mua đồng hồ nước tại trụ sở Phùng Chí Kiên </t>
  </si>
  <si>
    <t>8006</t>
  </si>
  <si>
    <t>BSKP diệt mối, côn trùng, vệ sinh, thông hút bể phốt tại trụ sở các cơ quan</t>
  </si>
  <si>
    <t>BSKP nâng cáp, sửa chữa cơ sở vật chất cơ quan (Hội trường UBND)</t>
  </si>
  <si>
    <t>BSKP duy trì hoạt động chăm sóc cây, hoa khuôn viên và các tuyến đường trục chính quanh trụ sở và duy trì hoạt động chung của UBND phường</t>
  </si>
  <si>
    <t xml:space="preserve">BSKP tổ chức các hội nghị, cuộc họp, thay dấu, hoạt động các ngày lễ khánh thành các cơ quan </t>
  </si>
  <si>
    <t>Mua đồ dùng</t>
  </si>
  <si>
    <t>6156</t>
  </si>
  <si>
    <t>Dự toán đầu năm</t>
  </si>
  <si>
    <t>Dự toán bổ sung</t>
  </si>
  <si>
    <t>Dự toán đã sử dụng</t>
  </si>
  <si>
    <t xml:space="preserve">Dự toán còn lại </t>
  </si>
  <si>
    <t xml:space="preserve">Khoản </t>
  </si>
  <si>
    <t>I</t>
  </si>
  <si>
    <t xml:space="preserve">Phòng Văn hoá - Xã hội </t>
  </si>
  <si>
    <t>Trong đó:</t>
  </si>
  <si>
    <t>Tổng</t>
  </si>
  <si>
    <t>nguồn 12</t>
  </si>
  <si>
    <t>nguồn 13</t>
  </si>
  <si>
    <t>nguồn 18</t>
  </si>
  <si>
    <t>nguồn 28</t>
  </si>
  <si>
    <t>II</t>
  </si>
  <si>
    <t xml:space="preserve">Phòng Kinh tế, Hạ tầng và Đô thị </t>
  </si>
  <si>
    <t>Đơn vị</t>
  </si>
  <si>
    <t>011</t>
  </si>
  <si>
    <t>010</t>
  </si>
  <si>
    <t xml:space="preserve">Phụ cấp thâm niên nghề BCH quân sự </t>
  </si>
  <si>
    <t xml:space="preserve">Lương, phụ cấp BCH quân sự </t>
  </si>
  <si>
    <t xml:space="preserve">Phụ cấp chức vụ BCH quân sự </t>
  </si>
  <si>
    <t xml:space="preserve">bảo hiểm xã hội BCH quân sự </t>
  </si>
  <si>
    <t>Tổng dự toán giao đầu năm</t>
  </si>
  <si>
    <t>Tổng dự toán  năm 2026</t>
  </si>
  <si>
    <t>Tổng dự toán năm 2026</t>
  </si>
  <si>
    <t>(Kèm theo Tờ trình số:      /TTr-VP ngày      /9/2026 của Văn phòng HĐND và UBND phường Đường Hào)</t>
  </si>
  <si>
    <t>Quốc phòng</t>
  </si>
  <si>
    <t xml:space="preserve">Trợ cấp theo Nghị quyết 815/2025/NQ-HĐND ngày 23/12/2025 của HĐND tỉnh Hưng Yên </t>
  </si>
  <si>
    <t>Chuyển tiền khen thưởng các cháu thi đỗ vào các trường đại học năm 2026</t>
  </si>
  <si>
    <t>(Kèm theo Tờ trình số:      /TTr-VP ngày     /10/2026 của Văn phòng HĐND và UBND phường Đường Hào)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</si>
</sst>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1" formatCode="_(* #,##0_);_(* \(#,##0\);_(* &quot;-&quot;_);_(@_)"/>
    <numFmt numFmtId="43" formatCode="_(* #,##0.00_);_(* \(#,##0.00\);_(* &quot;-&quot;??_);_(@_)"/>
    <numFmt numFmtId="164" formatCode="_(* #,##0_);_(* \(#,##0\);_(* &quot;-&quot;??_);_(@_)"/>
    <numFmt numFmtId="165" formatCode="#,##0&quot; &quot;;\-#,##0&quot; &quot;"/>
  </numFmts>
  <fonts count="46" x14ac:knownFonts="1">
    <font>
      <sz val="12"/>
      <color theme="1"/>
      <name val="Calibri"/>
      <family val="2"/>
      <scheme val="minor"/>
    </font>
    <font>
      <sz val="12"/>
      <color theme="1"/>
      <name val="Calibri"/>
      <family val="2"/>
      <scheme val="minor"/>
    </font>
    <font>
      <b/>
      <sz val="12"/>
      <color theme="1"/>
      <name val="Calibri"/>
      <family val="2"/>
      <scheme val="minor"/>
    </font>
    <font>
      <sz val="10"/>
      <color theme="1"/>
      <name val="Times New Roman"/>
      <family val="1"/>
    </font>
    <font>
      <sz val="12"/>
      <color theme="1"/>
      <name val="Times New Roman"/>
      <family val="1"/>
    </font>
    <font>
      <b/>
      <sz val="12"/>
      <color theme="1"/>
      <name val="Times New Roman"/>
      <family val="1"/>
    </font>
    <font>
      <b/>
      <sz val="10"/>
      <color theme="1"/>
      <name val="Times New Roman"/>
      <family val="1"/>
    </font>
    <font>
      <b/>
      <sz val="8"/>
      <color theme="1"/>
      <name val="Times New Roman"/>
      <family val="1"/>
    </font>
    <font>
      <sz val="8"/>
      <color theme="1"/>
      <name val="Times New Roman"/>
      <family val="1"/>
    </font>
    <font>
      <sz val="8"/>
      <color theme="1"/>
      <name val="Calibri"/>
      <family val="2"/>
      <scheme val="minor"/>
    </font>
    <font>
      <sz val="12"/>
      <color rgb="FFFF0000"/>
      <name val="Calibri"/>
      <family val="2"/>
      <scheme val="minor"/>
    </font>
    <font>
      <sz val="10"/>
      <color rgb="FFFF0000"/>
      <name val="Times New Roman"/>
      <family val="1"/>
    </font>
    <font>
      <b/>
      <sz val="12"/>
      <color rgb="FFFF0000"/>
      <name val="Calibri"/>
      <family val="2"/>
      <scheme val="minor"/>
    </font>
    <font>
      <b/>
      <sz val="10"/>
      <color rgb="FFFF0000"/>
      <name val="Times New Roman"/>
      <family val="1"/>
    </font>
    <font>
      <b/>
      <sz val="7"/>
      <color theme="1"/>
      <name val="Times New Roman"/>
      <family val="1"/>
    </font>
    <font>
      <b/>
      <sz val="7"/>
      <color theme="1"/>
      <name val="Calibri"/>
      <family val="2"/>
      <scheme val="minor"/>
    </font>
    <font>
      <sz val="7"/>
      <color theme="1"/>
      <name val="Times New Roman"/>
      <family val="1"/>
    </font>
    <font>
      <sz val="7"/>
      <color theme="1"/>
      <name val="Calibri"/>
      <family val="2"/>
      <scheme val="minor"/>
    </font>
    <font>
      <sz val="7"/>
      <color rgb="FFFF0000"/>
      <name val="Times New Roman"/>
      <family val="1"/>
    </font>
    <font>
      <sz val="7"/>
      <color rgb="FFFF0000"/>
      <name val="Calibri"/>
      <family val="2"/>
      <scheme val="minor"/>
    </font>
    <font>
      <b/>
      <sz val="7"/>
      <color rgb="FFFF0000"/>
      <name val="Times New Roman"/>
      <family val="1"/>
    </font>
    <font>
      <b/>
      <sz val="7"/>
      <color rgb="FFFF0000"/>
      <name val="Calibri"/>
      <family val="2"/>
      <scheme val="minor"/>
    </font>
    <font>
      <sz val="6"/>
      <color theme="1"/>
      <name val="Calibri"/>
      <family val="2"/>
      <scheme val="minor"/>
    </font>
    <font>
      <b/>
      <sz val="6"/>
      <color theme="1"/>
      <name val="Times New Roman"/>
      <family val="1"/>
    </font>
    <font>
      <sz val="6"/>
      <color theme="1"/>
      <name val="Times New Roman"/>
      <family val="1"/>
    </font>
    <font>
      <i/>
      <sz val="6"/>
      <color theme="1"/>
      <name val="Times New Roman"/>
      <family val="1"/>
    </font>
    <font>
      <b/>
      <sz val="6"/>
      <color theme="1"/>
      <name val="Calibri"/>
      <family val="2"/>
      <scheme val="minor"/>
    </font>
    <font>
      <sz val="6"/>
      <color theme="1"/>
      <name val="Times New Roman"/>
      <family val="2"/>
    </font>
    <font>
      <b/>
      <sz val="6"/>
      <color theme="1"/>
      <name val="Times New Roman"/>
      <family val="1"/>
      <charset val="163"/>
    </font>
    <font>
      <b/>
      <i/>
      <sz val="6"/>
      <color theme="1"/>
      <name val="Times New Roman"/>
      <family val="1"/>
    </font>
    <font>
      <sz val="6"/>
      <color theme="1"/>
      <name val="Times New Roman"/>
      <family val="1"/>
      <charset val="163"/>
    </font>
    <font>
      <b/>
      <sz val="5"/>
      <color theme="1"/>
      <name val="Times New Roman"/>
      <family val="1"/>
    </font>
    <font>
      <b/>
      <sz val="13"/>
      <color theme="1"/>
      <name val="Times New Roman"/>
      <family val="1"/>
    </font>
    <font>
      <sz val="13"/>
      <color theme="1"/>
      <name val="Calibri"/>
      <family val="2"/>
      <scheme val="minor"/>
    </font>
    <font>
      <b/>
      <sz val="7"/>
      <color theme="1"/>
      <name val="Times New Roman"/>
      <family val="1"/>
      <charset val="163"/>
    </font>
    <font>
      <sz val="7"/>
      <color theme="1"/>
      <name val="Times New Roman"/>
      <family val="1"/>
      <charset val="163"/>
    </font>
    <font>
      <sz val="7"/>
      <color rgb="FF000000"/>
      <name val="Times New Roman"/>
      <family val="2"/>
    </font>
    <font>
      <sz val="7"/>
      <color theme="1"/>
      <name val="Times New Roman"/>
      <family val="2"/>
    </font>
    <font>
      <i/>
      <sz val="7"/>
      <color theme="1"/>
      <name val="Times New Roman"/>
      <family val="1"/>
    </font>
    <font>
      <b/>
      <sz val="7"/>
      <color theme="1"/>
      <name val="Times New Roman"/>
      <family val="2"/>
    </font>
    <font>
      <b/>
      <i/>
      <sz val="7"/>
      <color theme="1"/>
      <name val="Times New Roman"/>
      <family val="1"/>
    </font>
    <font>
      <b/>
      <sz val="7"/>
      <color indexed="8"/>
      <name val="Times New Roman"/>
      <family val="1"/>
    </font>
    <font>
      <sz val="14"/>
      <color theme="1"/>
      <name val="Times New Roman"/>
      <family val="1"/>
    </font>
    <font>
      <b/>
      <sz val="14"/>
      <color theme="1"/>
      <name val="Times New Roman"/>
      <family val="1"/>
    </font>
    <font>
      <b/>
      <sz val="9"/>
      <color theme="1"/>
      <name val="Times New Roman"/>
      <family val="1"/>
    </font>
    <font>
      <b/>
      <i/>
      <sz val="8"/>
      <color theme="1"/>
      <name val="Times New Roman"/>
      <family val="1"/>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327">
    <xf numFmtId="0" fontId="0" fillId="0" borderId="0" xfId="0"/>
    <xf numFmtId="164" fontId="0" fillId="0" borderId="0" xfId="1" applyNumberFormat="1" applyFont="1"/>
    <xf numFmtId="0" fontId="0" fillId="0" borderId="0" xfId="0" applyFont="1" applyAlignment="1">
      <alignment horizontal="center" vertical="center"/>
    </xf>
    <xf numFmtId="164" fontId="4" fillId="0" borderId="1" xfId="1" applyNumberFormat="1" applyFont="1" applyBorder="1"/>
    <xf numFmtId="0" fontId="4" fillId="0" borderId="1" xfId="0" applyFont="1" applyBorder="1"/>
    <xf numFmtId="0" fontId="4" fillId="0" borderId="0" xfId="0" applyFont="1"/>
    <xf numFmtId="164" fontId="4" fillId="0" borderId="0" xfId="1" applyNumberFormat="1" applyFont="1"/>
    <xf numFmtId="0" fontId="0" fillId="2" borderId="0" xfId="0" applyFont="1" applyFill="1"/>
    <xf numFmtId="14" fontId="4" fillId="0" borderId="1" xfId="0" applyNumberFormat="1" applyFont="1" applyBorder="1"/>
    <xf numFmtId="0" fontId="5" fillId="0" borderId="1" xfId="0" applyFont="1" applyBorder="1" applyAlignment="1">
      <alignment horizontal="center"/>
    </xf>
    <xf numFmtId="164" fontId="5" fillId="0" borderId="1" xfId="1" applyNumberFormat="1" applyFont="1" applyBorder="1" applyAlignment="1">
      <alignment horizontal="center"/>
    </xf>
    <xf numFmtId="0" fontId="17" fillId="0" borderId="0" xfId="0" applyFont="1" applyFill="1" applyAlignment="1">
      <alignment horizontal="center" vertical="center"/>
    </xf>
    <xf numFmtId="0" fontId="18" fillId="0" borderId="0" xfId="0" applyFont="1" applyFill="1" applyAlignment="1">
      <alignment horizontal="center" vertical="center"/>
    </xf>
    <xf numFmtId="0" fontId="19" fillId="0" borderId="0" xfId="0" applyFont="1" applyFill="1" applyAlignment="1">
      <alignment horizontal="center" vertical="center"/>
    </xf>
    <xf numFmtId="0" fontId="16" fillId="0" borderId="0" xfId="0" applyFont="1" applyFill="1" applyAlignment="1">
      <alignment horizontal="center" vertical="center"/>
    </xf>
    <xf numFmtId="0" fontId="14" fillId="0" borderId="0" xfId="0" applyFont="1" applyFill="1" applyAlignment="1">
      <alignment horizontal="center" vertical="center"/>
    </xf>
    <xf numFmtId="0" fontId="15" fillId="0" borderId="0" xfId="0" applyFont="1" applyFill="1" applyAlignment="1">
      <alignment horizontal="center" vertical="center"/>
    </xf>
    <xf numFmtId="0" fontId="20" fillId="0" borderId="0" xfId="0" applyFont="1" applyFill="1" applyAlignment="1">
      <alignment horizontal="center" vertical="center"/>
    </xf>
    <xf numFmtId="0" fontId="21" fillId="0" borderId="0" xfId="0" applyFont="1" applyFill="1" applyAlignment="1">
      <alignment horizontal="center" vertical="center"/>
    </xf>
    <xf numFmtId="0" fontId="0" fillId="0" borderId="0" xfId="0" applyFont="1" applyFill="1" applyAlignment="1">
      <alignment horizontal="center" vertical="center"/>
    </xf>
    <xf numFmtId="0" fontId="9" fillId="0" borderId="0" xfId="0" applyFont="1" applyFill="1"/>
    <xf numFmtId="0" fontId="9" fillId="0" borderId="0" xfId="0" applyNumberFormat="1" applyFont="1" applyFill="1"/>
    <xf numFmtId="0" fontId="0" fillId="0" borderId="0" xfId="0" applyFont="1" applyFill="1"/>
    <xf numFmtId="0" fontId="7" fillId="0" borderId="0" xfId="0" applyFont="1" applyFill="1" applyAlignment="1">
      <alignment horizontal="center" vertical="center"/>
    </xf>
    <xf numFmtId="0" fontId="2" fillId="0" borderId="0" xfId="0" applyFont="1" applyFill="1" applyAlignment="1">
      <alignment horizontal="center" vertical="center"/>
    </xf>
    <xf numFmtId="0" fontId="5" fillId="0" borderId="0" xfId="0" applyFont="1" applyFill="1"/>
    <xf numFmtId="164" fontId="9" fillId="0" borderId="0" xfId="0" applyNumberFormat="1" applyFont="1" applyFill="1"/>
    <xf numFmtId="0" fontId="3" fillId="0" borderId="0" xfId="0" applyFont="1" applyFill="1"/>
    <xf numFmtId="0" fontId="0" fillId="0" borderId="0" xfId="0" applyFill="1"/>
    <xf numFmtId="0" fontId="6" fillId="0" borderId="0" xfId="0" applyFont="1" applyFill="1" applyAlignment="1">
      <alignment horizontal="center" vertical="center"/>
    </xf>
    <xf numFmtId="0" fontId="11" fillId="0" borderId="0" xfId="0" applyFont="1" applyFill="1" applyAlignment="1">
      <alignment horizontal="center" vertical="center"/>
    </xf>
    <xf numFmtId="0" fontId="10" fillId="0" borderId="0" xfId="0" applyFont="1" applyFill="1" applyAlignment="1">
      <alignment horizontal="center" vertical="center"/>
    </xf>
    <xf numFmtId="0" fontId="3" fillId="0" borderId="0" xfId="0" applyFont="1" applyFill="1" applyAlignment="1">
      <alignment horizontal="center" vertical="center"/>
    </xf>
    <xf numFmtId="0" fontId="13" fillId="0" borderId="0" xfId="0" applyFont="1" applyFill="1" applyAlignment="1">
      <alignment horizontal="center" vertical="center"/>
    </xf>
    <xf numFmtId="0" fontId="12" fillId="0" borderId="0" xfId="0" applyFont="1" applyFill="1" applyAlignment="1">
      <alignment horizontal="center" vertical="center"/>
    </xf>
    <xf numFmtId="0" fontId="5" fillId="0" borderId="8" xfId="0" applyFont="1" applyFill="1" applyBorder="1" applyAlignment="1">
      <alignment horizontal="center" vertical="center"/>
    </xf>
    <xf numFmtId="0" fontId="21" fillId="0" borderId="1" xfId="0" applyFont="1" applyFill="1" applyBorder="1" applyAlignment="1">
      <alignment horizontal="center" vertical="center"/>
    </xf>
    <xf numFmtId="0" fontId="20" fillId="0" borderId="1" xfId="0" applyFont="1" applyFill="1" applyBorder="1" applyAlignment="1">
      <alignment horizontal="center" vertical="center"/>
    </xf>
    <xf numFmtId="0" fontId="8" fillId="0" borderId="0" xfId="0" applyFont="1" applyFill="1" applyAlignment="1">
      <alignment horizontal="center" vertical="center"/>
    </xf>
    <xf numFmtId="0" fontId="0" fillId="0" borderId="0" xfId="0" applyFont="1" applyFill="1" applyAlignment="1">
      <alignment horizontal="left" vertical="center" wrapText="1"/>
    </xf>
    <xf numFmtId="164" fontId="0" fillId="0" borderId="0" xfId="1" applyNumberFormat="1" applyFont="1" applyFill="1" applyAlignment="1">
      <alignment horizontal="center" vertical="center"/>
    </xf>
    <xf numFmtId="0" fontId="0" fillId="0" borderId="0" xfId="1" applyNumberFormat="1" applyFont="1" applyFill="1" applyAlignment="1">
      <alignment horizontal="center" vertical="center"/>
    </xf>
    <xf numFmtId="0" fontId="23" fillId="0" borderId="6" xfId="0" applyFont="1" applyFill="1" applyBorder="1" applyAlignment="1">
      <alignment horizontal="center" vertical="center"/>
    </xf>
    <xf numFmtId="164" fontId="23" fillId="0" borderId="1" xfId="1" applyNumberFormat="1" applyFont="1" applyFill="1" applyBorder="1" applyAlignment="1">
      <alignment horizontal="center" vertical="center"/>
    </xf>
    <xf numFmtId="3" fontId="23" fillId="0" borderId="1" xfId="0" applyNumberFormat="1" applyFont="1" applyFill="1" applyBorder="1" applyAlignment="1">
      <alignment vertical="center" wrapText="1" shrinkToFit="1"/>
    </xf>
    <xf numFmtId="164" fontId="23" fillId="0" borderId="1" xfId="1" applyNumberFormat="1" applyFont="1" applyFill="1" applyBorder="1" applyAlignment="1">
      <alignment horizontal="left" vertical="center" wrapText="1"/>
    </xf>
    <xf numFmtId="3" fontId="24" fillId="0" borderId="1" xfId="0" applyNumberFormat="1" applyFont="1" applyFill="1" applyBorder="1" applyAlignment="1">
      <alignment vertical="center" wrapText="1" shrinkToFit="1"/>
    </xf>
    <xf numFmtId="164" fontId="24" fillId="0" borderId="1" xfId="1" applyNumberFormat="1" applyFont="1" applyFill="1" applyBorder="1" applyAlignment="1">
      <alignment horizontal="left" vertical="center" wrapText="1"/>
    </xf>
    <xf numFmtId="0" fontId="24" fillId="0" borderId="1" xfId="0" applyFont="1" applyFill="1" applyBorder="1" applyAlignment="1">
      <alignment horizontal="left" vertical="center" wrapText="1"/>
    </xf>
    <xf numFmtId="3" fontId="30" fillId="0" borderId="1" xfId="1" applyNumberFormat="1" applyFont="1" applyFill="1" applyBorder="1" applyAlignment="1">
      <alignment horizontal="right" vertical="center" shrinkToFit="1"/>
    </xf>
    <xf numFmtId="0" fontId="23" fillId="0" borderId="1" xfId="0" applyFont="1" applyFill="1" applyBorder="1" applyAlignment="1">
      <alignment horizontal="left" vertical="center" wrapText="1"/>
    </xf>
    <xf numFmtId="0" fontId="26" fillId="0" borderId="0" xfId="0" applyFont="1" applyFill="1" applyAlignment="1">
      <alignment horizontal="center" vertical="center"/>
    </xf>
    <xf numFmtId="0" fontId="24" fillId="0" borderId="0" xfId="0" applyFont="1" applyFill="1" applyAlignment="1">
      <alignment horizontal="center"/>
    </xf>
    <xf numFmtId="0" fontId="24" fillId="0" borderId="0" xfId="0" applyFont="1" applyFill="1"/>
    <xf numFmtId="164" fontId="24" fillId="0" borderId="0" xfId="1" applyNumberFormat="1" applyFont="1" applyFill="1"/>
    <xf numFmtId="0" fontId="24" fillId="0" borderId="1" xfId="0" applyFont="1" applyFill="1" applyBorder="1" applyAlignment="1">
      <alignment horizontal="center" vertical="center"/>
    </xf>
    <xf numFmtId="164" fontId="24" fillId="0" borderId="1" xfId="1" applyNumberFormat="1" applyFont="1" applyFill="1" applyBorder="1" applyAlignment="1">
      <alignment horizontal="center" vertical="center"/>
    </xf>
    <xf numFmtId="0" fontId="24" fillId="0" borderId="1" xfId="0" applyFont="1" applyFill="1" applyBorder="1" applyAlignment="1">
      <alignment wrapText="1"/>
    </xf>
    <xf numFmtId="0" fontId="24" fillId="0" borderId="1" xfId="0" applyFont="1" applyFill="1" applyBorder="1"/>
    <xf numFmtId="0" fontId="23" fillId="0" borderId="0" xfId="0" applyFont="1" applyFill="1" applyAlignment="1">
      <alignment horizontal="center" vertical="center"/>
    </xf>
    <xf numFmtId="0" fontId="24" fillId="0" borderId="0" xfId="0" applyFont="1" applyFill="1" applyAlignment="1">
      <alignment horizontal="center" vertical="center"/>
    </xf>
    <xf numFmtId="0" fontId="23" fillId="0" borderId="1" xfId="0" applyFont="1" applyFill="1" applyBorder="1"/>
    <xf numFmtId="164" fontId="23" fillId="0" borderId="1" xfId="0" applyNumberFormat="1" applyFont="1" applyFill="1" applyBorder="1"/>
    <xf numFmtId="0" fontId="24" fillId="0" borderId="1" xfId="0" applyFont="1" applyFill="1" applyBorder="1" applyAlignment="1">
      <alignment vertical="center"/>
    </xf>
    <xf numFmtId="164" fontId="22" fillId="0" borderId="1" xfId="1" applyNumberFormat="1" applyFont="1" applyFill="1" applyBorder="1"/>
    <xf numFmtId="0" fontId="22" fillId="0" borderId="1" xfId="0" applyFont="1" applyFill="1" applyBorder="1"/>
    <xf numFmtId="0" fontId="22" fillId="0" borderId="0" xfId="0" applyFont="1" applyFill="1"/>
    <xf numFmtId="0" fontId="24" fillId="0" borderId="6" xfId="0" applyFont="1" applyFill="1" applyBorder="1" applyAlignment="1">
      <alignment horizontal="center" vertical="center"/>
    </xf>
    <xf numFmtId="0" fontId="22" fillId="0" borderId="6" xfId="0" applyFont="1" applyFill="1" applyBorder="1"/>
    <xf numFmtId="0" fontId="22" fillId="0" borderId="0" xfId="0" applyFont="1" applyFill="1" applyBorder="1"/>
    <xf numFmtId="0" fontId="22" fillId="0" borderId="0" xfId="0" applyNumberFormat="1" applyFont="1" applyFill="1" applyBorder="1"/>
    <xf numFmtId="164" fontId="24" fillId="0" borderId="0" xfId="1" applyNumberFormat="1" applyFont="1" applyFill="1" applyBorder="1"/>
    <xf numFmtId="0" fontId="33" fillId="0" borderId="0" xfId="0" applyFont="1" applyFill="1" applyAlignment="1">
      <alignment horizontal="center" vertical="center"/>
    </xf>
    <xf numFmtId="0" fontId="5" fillId="0" borderId="6" xfId="0" applyFont="1" applyFill="1" applyBorder="1"/>
    <xf numFmtId="0" fontId="14" fillId="0" borderId="1" xfId="1" applyNumberFormat="1" applyFont="1" applyFill="1" applyBorder="1" applyAlignment="1">
      <alignment horizontal="center" vertical="center"/>
    </xf>
    <xf numFmtId="164" fontId="14" fillId="0" borderId="1" xfId="1" applyNumberFormat="1" applyFont="1" applyFill="1" applyBorder="1" applyAlignment="1">
      <alignment horizontal="center" vertical="center"/>
    </xf>
    <xf numFmtId="0" fontId="14" fillId="0" borderId="1" xfId="0" applyFont="1" applyFill="1" applyBorder="1" applyAlignment="1">
      <alignment horizontal="left" vertical="center" wrapText="1"/>
    </xf>
    <xf numFmtId="164" fontId="14" fillId="0" borderId="1" xfId="1" applyNumberFormat="1" applyFont="1" applyFill="1" applyBorder="1" applyAlignment="1">
      <alignment horizontal="left" vertical="center" wrapText="1"/>
    </xf>
    <xf numFmtId="0" fontId="16" fillId="0" borderId="1" xfId="0" applyFont="1" applyFill="1" applyBorder="1" applyAlignment="1">
      <alignment horizontal="center" vertical="center"/>
    </xf>
    <xf numFmtId="3" fontId="16" fillId="0" borderId="1" xfId="0" applyNumberFormat="1" applyFont="1" applyFill="1" applyBorder="1" applyAlignment="1">
      <alignment vertical="center" wrapText="1" shrinkToFit="1"/>
    </xf>
    <xf numFmtId="164" fontId="16" fillId="0" borderId="1" xfId="1" applyNumberFormat="1" applyFont="1" applyFill="1" applyBorder="1" applyAlignment="1">
      <alignment horizontal="left" vertical="center" wrapText="1"/>
    </xf>
    <xf numFmtId="164" fontId="16" fillId="0" borderId="1" xfId="1" applyNumberFormat="1" applyFont="1" applyFill="1" applyBorder="1" applyAlignment="1">
      <alignment horizontal="center" vertical="center"/>
    </xf>
    <xf numFmtId="0" fontId="16" fillId="0" borderId="1" xfId="1" applyNumberFormat="1" applyFont="1" applyFill="1" applyBorder="1" applyAlignment="1">
      <alignment horizontal="center" vertical="center"/>
    </xf>
    <xf numFmtId="164" fontId="16" fillId="0" borderId="1" xfId="0" applyNumberFormat="1" applyFont="1" applyFill="1" applyBorder="1" applyAlignment="1">
      <alignment horizontal="center" vertical="center"/>
    </xf>
    <xf numFmtId="0" fontId="16" fillId="0" borderId="1" xfId="0" applyFont="1" applyFill="1" applyBorder="1" applyAlignment="1">
      <alignment horizontal="left" vertical="center" wrapText="1"/>
    </xf>
    <xf numFmtId="3" fontId="14" fillId="0" borderId="1" xfId="0" applyNumberFormat="1" applyFont="1" applyFill="1" applyBorder="1" applyAlignment="1">
      <alignment vertical="center" wrapText="1" shrinkToFit="1"/>
    </xf>
    <xf numFmtId="164" fontId="14" fillId="0" borderId="1" xfId="0" applyNumberFormat="1" applyFont="1" applyFill="1" applyBorder="1" applyAlignment="1">
      <alignment horizontal="center" vertical="center"/>
    </xf>
    <xf numFmtId="0" fontId="14" fillId="0" borderId="1" xfId="0" quotePrefix="1" applyFont="1" applyFill="1" applyBorder="1" applyAlignment="1">
      <alignment horizontal="center" vertical="center"/>
    </xf>
    <xf numFmtId="0" fontId="14" fillId="0" borderId="1" xfId="0" applyFont="1" applyFill="1" applyBorder="1" applyAlignment="1">
      <alignment vertical="center" wrapText="1" shrinkToFit="1"/>
    </xf>
    <xf numFmtId="0" fontId="35" fillId="0" borderId="1" xfId="0" quotePrefix="1" applyFont="1" applyFill="1" applyBorder="1" applyAlignment="1">
      <alignment horizontal="center" vertical="center"/>
    </xf>
    <xf numFmtId="3" fontId="16" fillId="0" borderId="1" xfId="1" applyNumberFormat="1" applyFont="1" applyFill="1" applyBorder="1" applyAlignment="1">
      <alignment horizontal="right" vertical="center" shrinkToFit="1"/>
    </xf>
    <xf numFmtId="0" fontId="17" fillId="0" borderId="1" xfId="0" applyFont="1" applyFill="1" applyBorder="1" applyAlignment="1">
      <alignment horizontal="center" vertical="center"/>
    </xf>
    <xf numFmtId="0" fontId="15" fillId="0" borderId="1" xfId="0" applyFont="1" applyFill="1" applyBorder="1" applyAlignment="1">
      <alignment horizontal="center" vertical="center"/>
    </xf>
    <xf numFmtId="164" fontId="16" fillId="0" borderId="1" xfId="1" quotePrefix="1" applyNumberFormat="1" applyFont="1" applyFill="1" applyBorder="1" applyAlignment="1">
      <alignment horizontal="center" vertical="center"/>
    </xf>
    <xf numFmtId="3" fontId="14" fillId="0" borderId="1" xfId="1" applyNumberFormat="1" applyFont="1" applyFill="1" applyBorder="1" applyAlignment="1">
      <alignment horizontal="right" vertical="center" shrinkToFit="1"/>
    </xf>
    <xf numFmtId="0" fontId="36" fillId="0" borderId="1" xfId="0" applyNumberFormat="1" applyFont="1" applyFill="1" applyBorder="1" applyAlignment="1" applyProtection="1">
      <alignment vertical="center" wrapText="1"/>
    </xf>
    <xf numFmtId="3" fontId="14" fillId="0" borderId="1" xfId="0" quotePrefix="1" applyNumberFormat="1" applyFont="1" applyFill="1" applyBorder="1" applyAlignment="1">
      <alignment vertical="center" wrapText="1" shrinkToFit="1"/>
    </xf>
    <xf numFmtId="3" fontId="16" fillId="0" borderId="1" xfId="0" quotePrefix="1" applyNumberFormat="1" applyFont="1" applyFill="1" applyBorder="1" applyAlignment="1">
      <alignment vertical="center" wrapText="1" shrinkToFit="1"/>
    </xf>
    <xf numFmtId="3" fontId="34" fillId="0" borderId="1" xfId="1" applyNumberFormat="1" applyFont="1" applyFill="1" applyBorder="1" applyAlignment="1">
      <alignment horizontal="right" vertical="center" shrinkToFit="1"/>
    </xf>
    <xf numFmtId="3" fontId="35" fillId="0" borderId="1" xfId="1" applyNumberFormat="1" applyFont="1" applyFill="1" applyBorder="1" applyAlignment="1">
      <alignment horizontal="right" vertical="center" shrinkToFit="1"/>
    </xf>
    <xf numFmtId="165" fontId="36" fillId="0" borderId="1" xfId="0" applyNumberFormat="1" applyFont="1" applyFill="1" applyBorder="1" applyAlignment="1" applyProtection="1">
      <alignment horizontal="right" vertical="center" wrapText="1"/>
    </xf>
    <xf numFmtId="0" fontId="14" fillId="0" borderId="1" xfId="0" applyFont="1" applyFill="1" applyBorder="1" applyAlignment="1">
      <alignment wrapText="1"/>
    </xf>
    <xf numFmtId="164" fontId="14" fillId="0" borderId="1" xfId="0" applyNumberFormat="1" applyFont="1" applyFill="1" applyBorder="1" applyAlignment="1">
      <alignment vertical="center"/>
    </xf>
    <xf numFmtId="0" fontId="16" fillId="0" borderId="1" xfId="0" applyFont="1" applyFill="1" applyBorder="1" applyAlignment="1">
      <alignment wrapText="1"/>
    </xf>
    <xf numFmtId="0" fontId="16" fillId="0" borderId="1" xfId="0" applyFont="1" applyFill="1" applyBorder="1" applyAlignment="1">
      <alignment vertical="center" wrapText="1" shrinkToFit="1"/>
    </xf>
    <xf numFmtId="164" fontId="16" fillId="0" borderId="1" xfId="1" applyNumberFormat="1" applyFont="1" applyFill="1" applyBorder="1" applyAlignment="1">
      <alignment vertical="center" shrinkToFit="1"/>
    </xf>
    <xf numFmtId="0" fontId="14" fillId="0" borderId="1" xfId="0" applyFont="1" applyFill="1" applyBorder="1"/>
    <xf numFmtId="0" fontId="14" fillId="0" borderId="1" xfId="0" applyNumberFormat="1" applyFont="1" applyFill="1" applyBorder="1" applyAlignment="1">
      <alignment wrapText="1"/>
    </xf>
    <xf numFmtId="0" fontId="16" fillId="0" borderId="1" xfId="0" quotePrefix="1" applyFont="1" applyFill="1" applyBorder="1" applyAlignment="1">
      <alignment horizontal="center" vertical="center"/>
    </xf>
    <xf numFmtId="3" fontId="38" fillId="0" borderId="1" xfId="1" applyNumberFormat="1" applyFont="1" applyFill="1" applyBorder="1" applyAlignment="1">
      <alignment horizontal="right" vertical="center" shrinkToFit="1"/>
    </xf>
    <xf numFmtId="164" fontId="20" fillId="0" borderId="1" xfId="1" applyNumberFormat="1" applyFont="1" applyFill="1" applyBorder="1" applyAlignment="1">
      <alignment horizontal="center" vertical="center"/>
    </xf>
    <xf numFmtId="164" fontId="18" fillId="0" borderId="1" xfId="1" applyNumberFormat="1" applyFont="1" applyFill="1" applyBorder="1" applyAlignment="1">
      <alignment horizontal="center" vertical="center"/>
    </xf>
    <xf numFmtId="0" fontId="34" fillId="0" borderId="1" xfId="0" applyFont="1" applyFill="1" applyBorder="1" applyAlignment="1">
      <alignment horizontal="center" vertical="center"/>
    </xf>
    <xf numFmtId="3" fontId="40" fillId="0" borderId="1" xfId="1" applyNumberFormat="1" applyFont="1" applyFill="1" applyBorder="1" applyAlignment="1">
      <alignment horizontal="right" vertical="center" shrinkToFit="1"/>
    </xf>
    <xf numFmtId="0" fontId="35"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6" fillId="0" borderId="1" xfId="1" applyNumberFormat="1" applyFont="1" applyFill="1" applyBorder="1" applyAlignment="1">
      <alignment horizontal="left" vertical="center" wrapText="1"/>
    </xf>
    <xf numFmtId="0" fontId="16" fillId="0" borderId="1" xfId="1" applyNumberFormat="1" applyFont="1" applyFill="1" applyBorder="1" applyAlignment="1">
      <alignment horizontal="center" vertical="center" wrapText="1"/>
    </xf>
    <xf numFmtId="0" fontId="14" fillId="0" borderId="1" xfId="1" applyNumberFormat="1" applyFont="1" applyFill="1" applyBorder="1" applyAlignment="1">
      <alignment horizontal="left" vertical="center" wrapText="1"/>
    </xf>
    <xf numFmtId="0" fontId="22" fillId="0" borderId="0" xfId="0" applyFont="1" applyFill="1" applyBorder="1" applyAlignment="1">
      <alignment horizontal="center"/>
    </xf>
    <xf numFmtId="0" fontId="23" fillId="0" borderId="1" xfId="0" applyFont="1" applyFill="1" applyBorder="1" applyAlignment="1">
      <alignment horizontal="center"/>
    </xf>
    <xf numFmtId="0" fontId="22" fillId="0" borderId="1" xfId="0" applyFont="1" applyFill="1" applyBorder="1" applyAlignment="1">
      <alignment horizontal="center"/>
    </xf>
    <xf numFmtId="0" fontId="9" fillId="0" borderId="0" xfId="0" applyFont="1" applyFill="1" applyAlignment="1">
      <alignment horizontal="center"/>
    </xf>
    <xf numFmtId="0" fontId="9" fillId="0" borderId="1" xfId="0" applyFont="1" applyFill="1" applyBorder="1" applyAlignment="1">
      <alignment horizontal="center"/>
    </xf>
    <xf numFmtId="0" fontId="9" fillId="0" borderId="1" xfId="0" applyFont="1" applyFill="1" applyBorder="1"/>
    <xf numFmtId="0" fontId="9" fillId="0" borderId="1" xfId="0" applyNumberFormat="1" applyFont="1" applyFill="1" applyBorder="1"/>
    <xf numFmtId="0" fontId="23" fillId="0" borderId="1" xfId="1" applyNumberFormat="1" applyFont="1" applyFill="1" applyBorder="1" applyAlignment="1">
      <alignment horizontal="left" vertical="center" wrapText="1"/>
    </xf>
    <xf numFmtId="3" fontId="14" fillId="0" borderId="1" xfId="0" applyNumberFormat="1" applyFont="1" applyFill="1" applyBorder="1" applyAlignment="1">
      <alignment horizontal="center" vertical="center"/>
    </xf>
    <xf numFmtId="0" fontId="34" fillId="0" borderId="1" xfId="0" quotePrefix="1" applyFont="1" applyFill="1" applyBorder="1" applyAlignment="1">
      <alignment horizontal="center" vertical="center"/>
    </xf>
    <xf numFmtId="0" fontId="16" fillId="0" borderId="1" xfId="0" applyFont="1" applyFill="1" applyBorder="1" applyAlignment="1">
      <alignment vertical="center"/>
    </xf>
    <xf numFmtId="164" fontId="16" fillId="0" borderId="1" xfId="1" applyNumberFormat="1" applyFont="1" applyFill="1" applyBorder="1" applyAlignment="1">
      <alignment horizontal="center" vertical="center" wrapText="1"/>
    </xf>
    <xf numFmtId="164" fontId="16" fillId="0" borderId="1" xfId="1" applyNumberFormat="1" applyFont="1" applyFill="1" applyBorder="1" applyAlignment="1">
      <alignment vertical="center"/>
    </xf>
    <xf numFmtId="0" fontId="14" fillId="0" borderId="1" xfId="0" applyFont="1" applyFill="1" applyBorder="1" applyAlignment="1">
      <alignment vertical="center"/>
    </xf>
    <xf numFmtId="164" fontId="14" fillId="0" borderId="1" xfId="1" applyNumberFormat="1" applyFont="1" applyFill="1" applyBorder="1" applyAlignment="1">
      <alignment vertical="center"/>
    </xf>
    <xf numFmtId="0" fontId="15" fillId="0" borderId="0" xfId="0" applyFont="1" applyFill="1" applyAlignment="1">
      <alignment vertical="center"/>
    </xf>
    <xf numFmtId="0" fontId="23" fillId="0" borderId="1" xfId="0" applyNumberFormat="1" applyFont="1" applyFill="1" applyBorder="1"/>
    <xf numFmtId="0" fontId="23" fillId="0" borderId="0" xfId="0" applyFont="1" applyFill="1"/>
    <xf numFmtId="0" fontId="8" fillId="0" borderId="0" xfId="0" applyFont="1" applyFill="1"/>
    <xf numFmtId="164" fontId="8" fillId="0" borderId="0" xfId="1" applyNumberFormat="1" applyFont="1" applyFill="1"/>
    <xf numFmtId="164" fontId="17" fillId="0" borderId="1" xfId="0" applyNumberFormat="1" applyFont="1" applyFill="1" applyBorder="1" applyAlignment="1">
      <alignment horizontal="center" vertical="center"/>
    </xf>
    <xf numFmtId="164" fontId="39" fillId="0" borderId="1" xfId="1" applyNumberFormat="1" applyFont="1" applyFill="1" applyBorder="1" applyAlignment="1" applyProtection="1">
      <alignment vertical="center" wrapText="1"/>
    </xf>
    <xf numFmtId="164" fontId="37" fillId="0" borderId="1" xfId="1" applyNumberFormat="1" applyFont="1" applyFill="1" applyBorder="1" applyAlignment="1" applyProtection="1">
      <alignment vertical="center" wrapText="1"/>
    </xf>
    <xf numFmtId="164" fontId="16" fillId="0" borderId="1" xfId="0" applyNumberFormat="1" applyFont="1" applyFill="1" applyBorder="1"/>
    <xf numFmtId="3" fontId="24" fillId="0" borderId="1" xfId="1" applyNumberFormat="1" applyFont="1" applyFill="1" applyBorder="1" applyAlignment="1">
      <alignment horizontal="right" vertical="center" shrinkToFit="1"/>
    </xf>
    <xf numFmtId="0" fontId="24" fillId="0" borderId="1" xfId="1" applyNumberFormat="1" applyFont="1" applyFill="1" applyBorder="1" applyAlignment="1">
      <alignment horizontal="center" vertical="center"/>
    </xf>
    <xf numFmtId="0" fontId="30" fillId="0" borderId="1" xfId="0" quotePrefix="1" applyFont="1" applyFill="1" applyBorder="1" applyAlignment="1">
      <alignment horizontal="center" vertical="center"/>
    </xf>
    <xf numFmtId="164" fontId="24" fillId="0" borderId="1" xfId="0" applyNumberFormat="1" applyFont="1" applyFill="1" applyBorder="1" applyAlignment="1">
      <alignment horizontal="center" vertical="center"/>
    </xf>
    <xf numFmtId="3" fontId="23" fillId="0" borderId="1" xfId="1" applyNumberFormat="1" applyFont="1" applyFill="1" applyBorder="1" applyAlignment="1">
      <alignment horizontal="right" vertical="center" shrinkToFit="1"/>
    </xf>
    <xf numFmtId="164" fontId="24" fillId="0" borderId="1" xfId="1" quotePrefix="1" applyNumberFormat="1" applyFont="1" applyFill="1" applyBorder="1" applyAlignment="1">
      <alignment horizontal="center" vertical="center"/>
    </xf>
    <xf numFmtId="164" fontId="23" fillId="0" borderId="1" xfId="1" quotePrefix="1" applyNumberFormat="1" applyFont="1" applyFill="1" applyBorder="1" applyAlignment="1">
      <alignment horizontal="center" vertical="center"/>
    </xf>
    <xf numFmtId="164" fontId="23" fillId="0" borderId="1" xfId="0" applyNumberFormat="1" applyFont="1" applyFill="1" applyBorder="1" applyAlignment="1">
      <alignment horizontal="center" vertical="center"/>
    </xf>
    <xf numFmtId="164" fontId="23" fillId="0" borderId="0" xfId="0" applyNumberFormat="1" applyFont="1" applyFill="1" applyAlignment="1">
      <alignment horizontal="center" vertical="center"/>
    </xf>
    <xf numFmtId="164" fontId="24" fillId="0" borderId="0" xfId="0" applyNumberFormat="1" applyFont="1" applyFill="1" applyAlignment="1">
      <alignment horizontal="center" vertical="center"/>
    </xf>
    <xf numFmtId="0" fontId="24" fillId="0" borderId="1" xfId="0" quotePrefix="1" applyFont="1" applyFill="1" applyBorder="1" applyAlignment="1">
      <alignment horizontal="center" vertical="center"/>
    </xf>
    <xf numFmtId="0" fontId="28" fillId="0" borderId="1" xfId="0" applyFont="1" applyFill="1" applyBorder="1" applyAlignment="1">
      <alignment horizontal="center" vertical="center"/>
    </xf>
    <xf numFmtId="3" fontId="28" fillId="0" borderId="1" xfId="0" applyNumberFormat="1" applyFont="1" applyFill="1" applyBorder="1" applyAlignment="1">
      <alignment horizontal="left" vertical="center" wrapText="1" shrinkToFit="1"/>
    </xf>
    <xf numFmtId="3" fontId="28" fillId="0" borderId="1" xfId="0" applyNumberFormat="1" applyFont="1" applyFill="1" applyBorder="1" applyAlignment="1">
      <alignment horizontal="center" vertical="center" wrapText="1" shrinkToFit="1"/>
    </xf>
    <xf numFmtId="3" fontId="30" fillId="0" borderId="1" xfId="0" applyNumberFormat="1" applyFont="1" applyFill="1" applyBorder="1" applyAlignment="1">
      <alignment vertical="center" wrapText="1" shrinkToFit="1"/>
    </xf>
    <xf numFmtId="164" fontId="25" fillId="0" borderId="1" xfId="1" applyNumberFormat="1" applyFont="1" applyFill="1" applyBorder="1" applyAlignment="1">
      <alignment horizontal="center" vertical="center"/>
    </xf>
    <xf numFmtId="3" fontId="28" fillId="0" borderId="1" xfId="1" applyNumberFormat="1" applyFont="1" applyFill="1" applyBorder="1" applyAlignment="1">
      <alignment horizontal="right" vertical="center" shrinkToFit="1"/>
    </xf>
    <xf numFmtId="0" fontId="26" fillId="0" borderId="1" xfId="0" applyFont="1" applyFill="1" applyBorder="1" applyAlignment="1">
      <alignment horizontal="center" vertical="center"/>
    </xf>
    <xf numFmtId="3" fontId="25" fillId="0" borderId="1" xfId="0" applyNumberFormat="1" applyFont="1" applyFill="1" applyBorder="1" applyAlignment="1">
      <alignment vertical="center" wrapText="1" shrinkToFit="1"/>
    </xf>
    <xf numFmtId="0" fontId="22" fillId="0" borderId="1" xfId="0" applyFont="1" applyFill="1" applyBorder="1" applyAlignment="1">
      <alignment horizontal="center" vertical="center"/>
    </xf>
    <xf numFmtId="0" fontId="27" fillId="0" borderId="1" xfId="0" applyNumberFormat="1" applyFont="1" applyFill="1" applyBorder="1" applyAlignment="1" applyProtection="1">
      <alignment vertical="center" wrapText="1"/>
    </xf>
    <xf numFmtId="164" fontId="23" fillId="0" borderId="1" xfId="1" applyNumberFormat="1" applyFont="1" applyFill="1" applyBorder="1" applyAlignment="1">
      <alignment vertical="center" shrinkToFit="1"/>
    </xf>
    <xf numFmtId="164" fontId="24" fillId="0" borderId="1" xfId="1" applyNumberFormat="1" applyFont="1" applyFill="1" applyBorder="1" applyAlignment="1">
      <alignment vertical="center" shrinkToFit="1"/>
    </xf>
    <xf numFmtId="0" fontId="24" fillId="0" borderId="1" xfId="0" applyFont="1" applyFill="1" applyBorder="1" applyAlignment="1">
      <alignment horizontal="left" vertical="center"/>
    </xf>
    <xf numFmtId="164" fontId="29" fillId="0" borderId="1" xfId="1" applyNumberFormat="1" applyFont="1" applyFill="1" applyBorder="1" applyAlignment="1">
      <alignment vertical="center" shrinkToFit="1"/>
    </xf>
    <xf numFmtId="164" fontId="29" fillId="0" borderId="1" xfId="1" applyNumberFormat="1" applyFont="1" applyFill="1" applyBorder="1" applyAlignment="1">
      <alignment horizontal="center" vertical="center"/>
    </xf>
    <xf numFmtId="0" fontId="23" fillId="0" borderId="1" xfId="1" applyNumberFormat="1" applyFont="1" applyFill="1" applyBorder="1" applyAlignment="1">
      <alignment horizontal="center" vertical="center"/>
    </xf>
    <xf numFmtId="164" fontId="25" fillId="0" borderId="1" xfId="1" applyNumberFormat="1" applyFont="1" applyFill="1" applyBorder="1" applyAlignment="1">
      <alignment vertical="center" shrinkToFit="1"/>
    </xf>
    <xf numFmtId="0" fontId="23" fillId="0" borderId="1" xfId="0" applyFont="1" applyFill="1" applyBorder="1" applyAlignment="1">
      <alignment wrapText="1"/>
    </xf>
    <xf numFmtId="164" fontId="23" fillId="0" borderId="1" xfId="1" applyNumberFormat="1" applyFont="1" applyFill="1" applyBorder="1"/>
    <xf numFmtId="0" fontId="23" fillId="0" borderId="6" xfId="0" applyFont="1" applyFill="1" applyBorder="1"/>
    <xf numFmtId="0" fontId="24" fillId="0" borderId="1" xfId="0" applyFont="1" applyFill="1" applyBorder="1" applyAlignment="1">
      <alignment horizontal="center"/>
    </xf>
    <xf numFmtId="164" fontId="24" fillId="0" borderId="1" xfId="1" applyNumberFormat="1" applyFont="1" applyFill="1" applyBorder="1"/>
    <xf numFmtId="164" fontId="24" fillId="0" borderId="1" xfId="0" applyNumberFormat="1" applyFont="1" applyFill="1" applyBorder="1"/>
    <xf numFmtId="0" fontId="24" fillId="0" borderId="6" xfId="0" applyFont="1" applyFill="1" applyBorder="1"/>
    <xf numFmtId="0" fontId="26" fillId="0" borderId="1" xfId="0" applyFont="1" applyFill="1" applyBorder="1" applyAlignment="1">
      <alignment horizontal="center"/>
    </xf>
    <xf numFmtId="0" fontId="26" fillId="0" borderId="1" xfId="0" applyFont="1" applyFill="1" applyBorder="1"/>
    <xf numFmtId="164" fontId="26" fillId="0" borderId="1" xfId="1" applyNumberFormat="1" applyFont="1" applyFill="1" applyBorder="1"/>
    <xf numFmtId="0" fontId="26" fillId="0" borderId="6" xfId="0" applyFont="1" applyFill="1" applyBorder="1"/>
    <xf numFmtId="164" fontId="22" fillId="0" borderId="1" xfId="0" applyNumberFormat="1" applyFont="1" applyFill="1" applyBorder="1"/>
    <xf numFmtId="0" fontId="4" fillId="0" borderId="0" xfId="0" applyFont="1" applyFill="1"/>
    <xf numFmtId="0" fontId="2" fillId="0" borderId="0" xfId="0" applyFont="1" applyFill="1"/>
    <xf numFmtId="164" fontId="14" fillId="0" borderId="1" xfId="1" quotePrefix="1" applyNumberFormat="1" applyFont="1" applyFill="1" applyBorder="1" applyAlignment="1">
      <alignment horizontal="center" vertical="center"/>
    </xf>
    <xf numFmtId="0" fontId="14" fillId="0" borderId="1" xfId="1" applyNumberFormat="1" applyFont="1" applyFill="1" applyBorder="1" applyAlignment="1">
      <alignment vertical="center"/>
    </xf>
    <xf numFmtId="0" fontId="8" fillId="0" borderId="0" xfId="1" applyNumberFormat="1" applyFont="1" applyFill="1"/>
    <xf numFmtId="0" fontId="8" fillId="0" borderId="0" xfId="0" applyFont="1" applyFill="1" applyAlignment="1">
      <alignment horizontal="center"/>
    </xf>
    <xf numFmtId="43" fontId="16" fillId="0" borderId="1" xfId="0" applyNumberFormat="1" applyFont="1" applyFill="1" applyBorder="1" applyAlignment="1">
      <alignment horizontal="center" vertical="center"/>
    </xf>
    <xf numFmtId="164" fontId="37" fillId="0" borderId="1" xfId="1" applyNumberFormat="1" applyFont="1" applyFill="1" applyBorder="1" applyAlignment="1">
      <alignment horizontal="center" vertical="center"/>
    </xf>
    <xf numFmtId="164" fontId="39" fillId="0" borderId="1" xfId="1" applyNumberFormat="1" applyFont="1" applyFill="1" applyBorder="1" applyAlignment="1">
      <alignment horizontal="center" vertical="center"/>
    </xf>
    <xf numFmtId="43" fontId="16" fillId="0" borderId="1" xfId="1" applyNumberFormat="1" applyFont="1" applyFill="1" applyBorder="1" applyAlignment="1">
      <alignment horizontal="center" vertical="center"/>
    </xf>
    <xf numFmtId="164" fontId="0" fillId="0" borderId="0" xfId="0" applyNumberFormat="1" applyFont="1" applyFill="1" applyAlignment="1">
      <alignment horizontal="center" vertical="center"/>
    </xf>
    <xf numFmtId="3" fontId="16" fillId="0" borderId="1" xfId="0" applyNumberFormat="1" applyFont="1" applyFill="1" applyBorder="1" applyAlignment="1">
      <alignment horizontal="right" vertical="center" shrinkToFit="1"/>
    </xf>
    <xf numFmtId="3" fontId="16" fillId="0" borderId="1" xfId="0" applyNumberFormat="1" applyFont="1" applyFill="1" applyBorder="1" applyAlignment="1">
      <alignment horizontal="right" vertical="center"/>
    </xf>
    <xf numFmtId="0" fontId="15" fillId="0" borderId="1" xfId="0" applyFont="1" applyFill="1" applyBorder="1"/>
    <xf numFmtId="0" fontId="41" fillId="0" borderId="1" xfId="0" applyFont="1" applyFill="1" applyBorder="1" applyAlignment="1">
      <alignment vertical="center" wrapText="1"/>
    </xf>
    <xf numFmtId="164" fontId="15" fillId="0" borderId="1" xfId="1" applyNumberFormat="1" applyFont="1" applyFill="1" applyBorder="1"/>
    <xf numFmtId="164" fontId="15" fillId="0" borderId="1" xfId="1" applyNumberFormat="1" applyFont="1" applyFill="1" applyBorder="1" applyAlignment="1">
      <alignment vertical="center"/>
    </xf>
    <xf numFmtId="0" fontId="41" fillId="0" borderId="1" xfId="0" applyFont="1" applyFill="1" applyBorder="1" applyAlignment="1">
      <alignment horizontal="justify" vertical="center" wrapText="1"/>
    </xf>
    <xf numFmtId="0" fontId="24" fillId="0" borderId="0" xfId="1" applyNumberFormat="1" applyFont="1" applyFill="1"/>
    <xf numFmtId="0" fontId="16" fillId="0" borderId="2" xfId="0" applyFont="1" applyFill="1" applyBorder="1" applyAlignment="1">
      <alignment horizontal="center" vertical="center"/>
    </xf>
    <xf numFmtId="41" fontId="14" fillId="0" borderId="1" xfId="0" applyNumberFormat="1" applyFont="1" applyFill="1" applyBorder="1" applyAlignment="1">
      <alignment vertical="center" wrapText="1" shrinkToFit="1"/>
    </xf>
    <xf numFmtId="164" fontId="14" fillId="0" borderId="1" xfId="1" applyNumberFormat="1" applyFont="1" applyFill="1" applyBorder="1" applyAlignment="1">
      <alignment vertical="center" shrinkToFit="1"/>
    </xf>
    <xf numFmtId="0" fontId="14" fillId="0" borderId="2" xfId="0" applyFont="1" applyFill="1" applyBorder="1" applyAlignment="1">
      <alignment horizontal="left" vertical="center" wrapText="1"/>
    </xf>
    <xf numFmtId="164" fontId="14" fillId="0" borderId="2" xfId="1" applyNumberFormat="1" applyFont="1" applyFill="1" applyBorder="1" applyAlignment="1">
      <alignment horizontal="left" vertical="center" wrapText="1"/>
    </xf>
    <xf numFmtId="164" fontId="14" fillId="0" borderId="2" xfId="1" applyNumberFormat="1" applyFont="1" applyFill="1" applyBorder="1" applyAlignment="1">
      <alignment horizontal="center" vertical="center"/>
    </xf>
    <xf numFmtId="0" fontId="14" fillId="0" borderId="2" xfId="1" applyNumberFormat="1" applyFont="1" applyFill="1" applyBorder="1" applyAlignment="1">
      <alignment horizontal="center" vertical="center"/>
    </xf>
    <xf numFmtId="0" fontId="6" fillId="0" borderId="6" xfId="0" applyFont="1" applyFill="1" applyBorder="1" applyAlignment="1">
      <alignment horizontal="center" vertical="center"/>
    </xf>
    <xf numFmtId="0" fontId="16" fillId="0" borderId="1" xfId="0" applyFont="1" applyFill="1" applyBorder="1" applyAlignment="1">
      <alignment horizontal="center"/>
    </xf>
    <xf numFmtId="0" fontId="16" fillId="0" borderId="1" xfId="0" applyFont="1" applyFill="1" applyBorder="1"/>
    <xf numFmtId="164" fontId="16" fillId="0" borderId="1" xfId="1" applyNumberFormat="1" applyFont="1" applyFill="1" applyBorder="1"/>
    <xf numFmtId="0" fontId="16" fillId="0" borderId="1" xfId="1" applyNumberFormat="1" applyFont="1" applyFill="1" applyBorder="1"/>
    <xf numFmtId="0" fontId="3" fillId="0" borderId="6" xfId="0" applyFont="1" applyFill="1" applyBorder="1"/>
    <xf numFmtId="164" fontId="20" fillId="0" borderId="0" xfId="0" applyNumberFormat="1" applyFont="1" applyFill="1" applyAlignment="1">
      <alignment horizontal="center" vertical="center"/>
    </xf>
    <xf numFmtId="164" fontId="16" fillId="0" borderId="0" xfId="0" applyNumberFormat="1" applyFont="1" applyFill="1" applyAlignment="1">
      <alignment horizontal="center" vertical="center"/>
    </xf>
    <xf numFmtId="3" fontId="14" fillId="0" borderId="1" xfId="0" applyNumberFormat="1" applyFont="1" applyFill="1" applyBorder="1" applyAlignment="1">
      <alignment vertical="center" shrinkToFit="1"/>
    </xf>
    <xf numFmtId="164" fontId="18" fillId="0" borderId="0" xfId="0" applyNumberFormat="1" applyFont="1" applyFill="1" applyAlignment="1">
      <alignment horizontal="center" vertical="center"/>
    </xf>
    <xf numFmtId="0" fontId="8" fillId="0" borderId="1" xfId="0" applyFont="1" applyFill="1" applyBorder="1"/>
    <xf numFmtId="164" fontId="8" fillId="0" borderId="1" xfId="1" applyNumberFormat="1" applyFont="1" applyFill="1" applyBorder="1"/>
    <xf numFmtId="0" fontId="8" fillId="0" borderId="1" xfId="1" applyNumberFormat="1" applyFont="1" applyFill="1" applyBorder="1"/>
    <xf numFmtId="0" fontId="3" fillId="0" borderId="1" xfId="0" applyFont="1" applyFill="1" applyBorder="1"/>
    <xf numFmtId="0" fontId="16" fillId="0" borderId="1" xfId="1" applyNumberFormat="1" applyFont="1" applyFill="1" applyBorder="1" applyAlignment="1">
      <alignment horizontal="left" vertical="center"/>
    </xf>
    <xf numFmtId="0" fontId="7" fillId="0" borderId="1" xfId="0" applyFont="1" applyFill="1" applyBorder="1"/>
    <xf numFmtId="164" fontId="7" fillId="0" borderId="1" xfId="1" applyNumberFormat="1" applyFont="1" applyFill="1" applyBorder="1"/>
    <xf numFmtId="0" fontId="7" fillId="0" borderId="1" xfId="1" applyNumberFormat="1" applyFont="1" applyFill="1" applyBorder="1"/>
    <xf numFmtId="0" fontId="6" fillId="0" borderId="1" xfId="0" applyFont="1" applyFill="1" applyBorder="1"/>
    <xf numFmtId="0" fontId="42" fillId="0" borderId="0" xfId="0" applyFont="1"/>
    <xf numFmtId="0" fontId="14" fillId="0" borderId="1" xfId="0" applyFont="1" applyFill="1" applyBorder="1" applyAlignment="1">
      <alignment horizontal="center" vertical="center" wrapText="1"/>
    </xf>
    <xf numFmtId="0" fontId="5" fillId="0" borderId="0" xfId="0" applyFont="1" applyFill="1" applyBorder="1" applyAlignment="1">
      <alignment horizontal="center" vertical="center"/>
    </xf>
    <xf numFmtId="0" fontId="14" fillId="0" borderId="1" xfId="0" applyFont="1" applyFill="1" applyBorder="1" applyAlignment="1">
      <alignment horizontal="center" vertical="center"/>
    </xf>
    <xf numFmtId="164" fontId="14" fillId="0" borderId="1" xfId="1" applyNumberFormat="1" applyFont="1" applyFill="1" applyBorder="1" applyAlignment="1">
      <alignment horizontal="center" vertical="center" wrapText="1"/>
    </xf>
    <xf numFmtId="0" fontId="42" fillId="0" borderId="0" xfId="0" applyFont="1" applyFill="1"/>
    <xf numFmtId="0" fontId="7" fillId="0" borderId="5" xfId="0" applyFont="1" applyFill="1" applyBorder="1" applyAlignment="1">
      <alignment horizontal="center" vertical="center" wrapText="1"/>
    </xf>
    <xf numFmtId="0" fontId="43" fillId="0" borderId="0" xfId="0" applyFont="1" applyFill="1" applyAlignment="1">
      <alignment horizontal="center" vertical="center" wrapText="1"/>
    </xf>
    <xf numFmtId="164" fontId="7" fillId="0" borderId="1" xfId="0" applyNumberFormat="1" applyFont="1" applyFill="1" applyBorder="1" applyAlignment="1">
      <alignment vertical="center"/>
    </xf>
    <xf numFmtId="0" fontId="44" fillId="0" borderId="0" xfId="0" applyFont="1" applyFill="1" applyAlignment="1">
      <alignment vertical="center"/>
    </xf>
    <xf numFmtId="0" fontId="8" fillId="0" borderId="1" xfId="0" applyFont="1" applyFill="1" applyBorder="1" applyAlignment="1">
      <alignment horizontal="center"/>
    </xf>
    <xf numFmtId="164" fontId="8" fillId="0" borderId="1" xfId="0" applyNumberFormat="1" applyFont="1" applyFill="1" applyBorder="1" applyAlignment="1">
      <alignment horizontal="center"/>
    </xf>
    <xf numFmtId="164" fontId="8" fillId="0" borderId="1" xfId="0" applyNumberFormat="1" applyFont="1" applyFill="1" applyBorder="1"/>
    <xf numFmtId="164" fontId="8" fillId="0" borderId="1" xfId="1" applyNumberFormat="1" applyFont="1" applyFill="1" applyBorder="1" applyAlignment="1">
      <alignment horizontal="center"/>
    </xf>
    <xf numFmtId="0" fontId="14" fillId="0" borderId="0" xfId="0" applyFont="1" applyFill="1" applyAlignment="1">
      <alignment vertical="center"/>
    </xf>
    <xf numFmtId="0" fontId="42" fillId="0" borderId="0" xfId="0" applyFont="1" applyFill="1" applyAlignment="1">
      <alignment vertical="center"/>
    </xf>
    <xf numFmtId="0" fontId="7" fillId="0" borderId="1" xfId="0" applyFont="1" applyFill="1" applyBorder="1" applyAlignment="1">
      <alignment vertical="center"/>
    </xf>
    <xf numFmtId="164" fontId="7" fillId="0" borderId="1" xfId="1" applyNumberFormat="1" applyFont="1" applyFill="1" applyBorder="1" applyAlignment="1">
      <alignment horizontal="center" vertical="center"/>
    </xf>
    <xf numFmtId="164" fontId="14" fillId="0" borderId="4" xfId="0" applyNumberFormat="1" applyFont="1" applyFill="1" applyBorder="1" applyAlignment="1">
      <alignment horizontal="center" vertical="center" wrapText="1"/>
    </xf>
    <xf numFmtId="164" fontId="14" fillId="0" borderId="1" xfId="0" applyNumberFormat="1" applyFont="1" applyFill="1" applyBorder="1" applyAlignment="1">
      <alignment horizontal="center" vertical="center" wrapText="1"/>
    </xf>
    <xf numFmtId="0" fontId="37" fillId="0" borderId="1" xfId="0" applyNumberFormat="1" applyFont="1" applyFill="1" applyBorder="1" applyAlignment="1" applyProtection="1">
      <alignment vertical="center" wrapText="1"/>
    </xf>
    <xf numFmtId="0" fontId="14" fillId="0" borderId="1" xfId="0" quotePrefix="1" applyFont="1" applyFill="1" applyBorder="1" applyAlignment="1">
      <alignment horizontal="center" vertical="center" wrapText="1"/>
    </xf>
    <xf numFmtId="0" fontId="16" fillId="0" borderId="1" xfId="0" quotePrefix="1" applyFont="1" applyFill="1" applyBorder="1" applyAlignment="1">
      <alignment horizontal="center" vertical="center" wrapText="1"/>
    </xf>
    <xf numFmtId="164" fontId="16" fillId="0" borderId="1" xfId="0" applyNumberFormat="1" applyFont="1" applyFill="1" applyBorder="1" applyAlignment="1">
      <alignment horizontal="center" vertical="center" wrapText="1"/>
    </xf>
    <xf numFmtId="43" fontId="14" fillId="0" borderId="1" xfId="0" applyNumberFormat="1" applyFont="1" applyFill="1" applyBorder="1" applyAlignment="1">
      <alignment horizontal="center" vertical="center" wrapText="1"/>
    </xf>
    <xf numFmtId="43" fontId="14" fillId="0" borderId="0" xfId="0" applyNumberFormat="1" applyFont="1" applyFill="1" applyAlignment="1">
      <alignment horizontal="center" vertical="center"/>
    </xf>
    <xf numFmtId="0" fontId="14" fillId="0" borderId="1" xfId="0" applyFont="1" applyFill="1" applyBorder="1" applyAlignment="1">
      <alignment vertical="center" wrapText="1"/>
    </xf>
    <xf numFmtId="164" fontId="14" fillId="0" borderId="1" xfId="0" applyNumberFormat="1" applyFont="1" applyFill="1" applyBorder="1" applyAlignment="1">
      <alignment horizontal="left" vertical="center" wrapText="1"/>
    </xf>
    <xf numFmtId="43" fontId="14" fillId="0" borderId="1" xfId="0" applyNumberFormat="1" applyFont="1" applyFill="1" applyBorder="1" applyAlignment="1">
      <alignment horizontal="center" vertical="center"/>
    </xf>
    <xf numFmtId="0" fontId="33" fillId="0" borderId="0" xfId="0" applyFont="1" applyFill="1" applyBorder="1" applyAlignment="1">
      <alignment horizontal="center" vertical="center"/>
    </xf>
    <xf numFmtId="3" fontId="24" fillId="0" borderId="1" xfId="0" applyNumberFormat="1" applyFont="1" applyFill="1" applyBorder="1" applyAlignment="1">
      <alignment horizontal="center" vertical="center"/>
    </xf>
    <xf numFmtId="43" fontId="23" fillId="0" borderId="1" xfId="1" applyNumberFormat="1" applyFont="1" applyFill="1" applyBorder="1" applyAlignment="1">
      <alignment horizontal="center" vertical="center"/>
    </xf>
    <xf numFmtId="164" fontId="26" fillId="0" borderId="1" xfId="0" applyNumberFormat="1" applyFont="1" applyFill="1" applyBorder="1"/>
    <xf numFmtId="3" fontId="24" fillId="0" borderId="0" xfId="0" applyNumberFormat="1" applyFont="1" applyFill="1" applyAlignment="1">
      <alignment horizontal="center" vertical="center"/>
    </xf>
    <xf numFmtId="0" fontId="14" fillId="0" borderId="1" xfId="0" applyFont="1" applyFill="1" applyBorder="1" applyAlignment="1">
      <alignment horizontal="center" vertical="center"/>
    </xf>
    <xf numFmtId="164" fontId="14" fillId="0" borderId="1" xfId="1"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7" xfId="0" applyFont="1" applyFill="1" applyBorder="1" applyAlignment="1">
      <alignment horizontal="center" vertical="center"/>
    </xf>
    <xf numFmtId="0" fontId="14" fillId="0" borderId="2" xfId="0" applyFont="1" applyFill="1" applyBorder="1" applyAlignment="1">
      <alignment horizontal="center" vertical="center"/>
    </xf>
    <xf numFmtId="0" fontId="23" fillId="0" borderId="1" xfId="0" applyFont="1" applyFill="1" applyBorder="1" applyAlignment="1">
      <alignment horizontal="center" vertical="center"/>
    </xf>
    <xf numFmtId="164" fontId="23" fillId="0" borderId="1" xfId="1"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164" fontId="31" fillId="0" borderId="1" xfId="1" applyNumberFormat="1" applyFont="1" applyFill="1" applyBorder="1" applyAlignment="1">
      <alignment horizontal="center" vertical="center" wrapText="1"/>
    </xf>
    <xf numFmtId="0" fontId="5" fillId="0" borderId="0" xfId="0" applyFont="1" applyFill="1" applyAlignment="1">
      <alignment horizontal="center" vertical="center"/>
    </xf>
    <xf numFmtId="0" fontId="5" fillId="0" borderId="0" xfId="0" applyFont="1" applyFill="1" applyBorder="1" applyAlignment="1">
      <alignment horizontal="center" vertical="center"/>
    </xf>
    <xf numFmtId="0" fontId="14"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164" fontId="14" fillId="0" borderId="1" xfId="1"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164" fontId="7" fillId="0" borderId="2" xfId="1" applyNumberFormat="1" applyFont="1" applyFill="1" applyBorder="1" applyAlignment="1">
      <alignment horizontal="center" vertical="center" wrapText="1"/>
    </xf>
    <xf numFmtId="164" fontId="7" fillId="0" borderId="3" xfId="1" applyNumberFormat="1" applyFont="1" applyFill="1" applyBorder="1" applyAlignment="1">
      <alignment horizontal="center" vertical="center" wrapText="1"/>
    </xf>
    <xf numFmtId="164" fontId="7" fillId="0" borderId="4" xfId="1" applyNumberFormat="1" applyFont="1" applyFill="1" applyBorder="1" applyAlignment="1">
      <alignment horizontal="center" vertical="center" wrapText="1"/>
    </xf>
    <xf numFmtId="164" fontId="7" fillId="0" borderId="9" xfId="1" applyNumberFormat="1" applyFont="1" applyFill="1" applyBorder="1" applyAlignment="1">
      <alignment horizontal="center" vertical="center" wrapText="1"/>
    </xf>
    <xf numFmtId="164" fontId="7" fillId="0" borderId="10" xfId="1" applyNumberFormat="1" applyFont="1" applyFill="1" applyBorder="1" applyAlignment="1">
      <alignment horizontal="center" vertical="center" wrapText="1"/>
    </xf>
    <xf numFmtId="164" fontId="7" fillId="0" borderId="11" xfId="1" applyNumberFormat="1" applyFont="1" applyFill="1" applyBorder="1" applyAlignment="1">
      <alignment horizontal="center" vertical="center" wrapText="1"/>
    </xf>
    <xf numFmtId="164" fontId="7" fillId="0" borderId="12" xfId="1" applyNumberFormat="1" applyFont="1" applyFill="1" applyBorder="1" applyAlignment="1">
      <alignment horizontal="center" vertical="center" wrapText="1"/>
    </xf>
    <xf numFmtId="164" fontId="7" fillId="0" borderId="8" xfId="1" applyNumberFormat="1" applyFont="1" applyFill="1" applyBorder="1" applyAlignment="1">
      <alignment horizontal="center" vertical="center" wrapText="1"/>
    </xf>
    <xf numFmtId="164" fontId="7" fillId="0" borderId="13" xfId="1" applyNumberFormat="1" applyFont="1" applyFill="1" applyBorder="1" applyAlignment="1">
      <alignment horizontal="center" vertical="center" wrapText="1"/>
    </xf>
    <xf numFmtId="164" fontId="45" fillId="0" borderId="1" xfId="1"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64" fontId="7" fillId="0" borderId="5" xfId="1" applyNumberFormat="1" applyFont="1" applyFill="1" applyBorder="1" applyAlignment="1">
      <alignment horizontal="center" vertical="center" wrapText="1"/>
    </xf>
    <xf numFmtId="164" fontId="7" fillId="0" borderId="7" xfId="1" applyNumberFormat="1" applyFont="1" applyFill="1" applyBorder="1" applyAlignment="1">
      <alignment horizontal="center" vertical="center" wrapText="1"/>
    </xf>
    <xf numFmtId="164" fontId="7" fillId="0" borderId="6" xfId="1"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164" fontId="45" fillId="0" borderId="2" xfId="1" applyNumberFormat="1" applyFont="1" applyFill="1" applyBorder="1" applyAlignment="1">
      <alignment horizontal="center" vertical="center" wrapText="1"/>
    </xf>
    <xf numFmtId="164" fontId="45" fillId="0" borderId="4" xfId="1" applyNumberFormat="1"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Border="1" applyAlignment="1">
      <alignment horizontal="center" vertical="center"/>
    </xf>
    <xf numFmtId="164" fontId="14" fillId="0" borderId="2" xfId="1" applyNumberFormat="1" applyFont="1" applyFill="1" applyBorder="1" applyAlignment="1">
      <alignment horizontal="center" vertical="center" wrapText="1"/>
    </xf>
    <xf numFmtId="164" fontId="14" fillId="0" borderId="4" xfId="1" applyNumberFormat="1" applyFont="1" applyFill="1" applyBorder="1" applyAlignment="1">
      <alignment horizontal="center" vertical="center" wrapText="1"/>
    </xf>
    <xf numFmtId="164" fontId="14" fillId="0" borderId="5" xfId="1" applyNumberFormat="1" applyFont="1" applyFill="1" applyBorder="1" applyAlignment="1">
      <alignment horizontal="center" vertical="center" wrapText="1"/>
    </xf>
    <xf numFmtId="164" fontId="14" fillId="0" borderId="7" xfId="1" applyNumberFormat="1" applyFont="1" applyFill="1" applyBorder="1" applyAlignment="1">
      <alignment horizontal="center" vertical="center" wrapText="1"/>
    </xf>
    <xf numFmtId="164" fontId="14" fillId="0" borderId="6" xfId="1" applyNumberFormat="1" applyFont="1" applyFill="1" applyBorder="1" applyAlignment="1">
      <alignment horizontal="center" vertical="center" wrapText="1"/>
    </xf>
    <xf numFmtId="0" fontId="14" fillId="0" borderId="5"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164" fontId="23" fillId="0" borderId="1" xfId="1" applyNumberFormat="1" applyFont="1" applyFill="1" applyBorder="1" applyAlignment="1">
      <alignment horizontal="center" vertical="center" wrapText="1"/>
    </xf>
    <xf numFmtId="0" fontId="31" fillId="0" borderId="1" xfId="0" applyFont="1" applyFill="1" applyBorder="1" applyAlignment="1">
      <alignment horizontal="center" vertical="center" wrapText="1"/>
    </xf>
    <xf numFmtId="164" fontId="31" fillId="0" borderId="1" xfId="1" applyNumberFormat="1" applyFont="1" applyFill="1" applyBorder="1" applyAlignment="1">
      <alignment horizontal="center" vertical="center" wrapText="1"/>
    </xf>
    <xf numFmtId="164" fontId="23" fillId="0" borderId="5" xfId="1" applyNumberFormat="1" applyFont="1" applyFill="1" applyBorder="1" applyAlignment="1">
      <alignment horizontal="center" vertical="center" wrapText="1"/>
    </xf>
    <xf numFmtId="164" fontId="23" fillId="0" borderId="6" xfId="1"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1" xfId="0" applyFont="1" applyFill="1" applyBorder="1" applyAlignment="1">
      <alignment horizontal="center" vertical="center"/>
    </xf>
    <xf numFmtId="165" fontId="17" fillId="0" borderId="0" xfId="0" applyNumberFormat="1" applyFont="1" applyFill="1" applyAlignment="1">
      <alignment vertical="center"/>
    </xf>
    <xf numFmtId="0" fontId="8" fillId="0" borderId="1" xfId="0" quotePrefix="1" applyFont="1" applyFill="1" applyBorder="1" applyAlignment="1">
      <alignment horizontal="center"/>
    </xf>
    <xf numFmtId="164" fontId="16" fillId="0" borderId="1" xfId="0" applyNumberFormat="1" applyFont="1" applyFill="1" applyBorder="1" applyAlignment="1">
      <alignment horizontal="left" vertical="center" wrapText="1"/>
    </xf>
    <xf numFmtId="0" fontId="23" fillId="0" borderId="2" xfId="0" applyFont="1" applyFill="1" applyBorder="1" applyAlignment="1">
      <alignment horizontal="center" vertical="center" wrapText="1"/>
    </xf>
    <xf numFmtId="0" fontId="23" fillId="0" borderId="3" xfId="0" applyFont="1" applyFill="1" applyBorder="1" applyAlignment="1">
      <alignment horizontal="center" vertical="center" wrapText="1"/>
    </xf>
    <xf numFmtId="0" fontId="23" fillId="0" borderId="4" xfId="0" applyFont="1" applyFill="1" applyBorder="1" applyAlignment="1">
      <alignment horizontal="center" vertical="center" wrapText="1"/>
    </xf>
    <xf numFmtId="165" fontId="27" fillId="0" borderId="1" xfId="0" applyNumberFormat="1" applyFont="1" applyFill="1" applyBorder="1" applyAlignment="1" applyProtection="1">
      <alignment horizontal="righ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GIAO%20D&#7920;%20TO&#193;N%202026\c&#225;c%20bi&#7875;u%20chi%20ti&#7871;t%20c&#7911;a%20bi&#7875;u%20ch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GIAO%20D&#7920;%20TO&#193;N%202026\Bi&#7875;u%20giao%20ch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GIAO%20D&#7920;%20TO&#193;N%202026\C&#193;C%20PH&#7908;%20L&#7908;C%20C&#7910;A%20BI&#7874;U%20GIAO%20CHI%202026%20CHU&#7848;N%209.1.202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026%20DUONG%20HAO/DU%20TOAN%20NAM%202026/dieu%20chinh%20DT%20sang%20TYT%20v&#224;%20QS/ban%20giao%20sang%202%20phong/chuan/ban%20giao%20chuan%2023.9.2026/M&#195;U%2048%20-%20&#272;i&#7873;u%20ch&#7881;nh%20l&#7879;nh%20chi%20&#272;&#7843;ng.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026%20DUONG%20HAO/DU%20TOAN%20NAM%202026/doi%20chieu%20thu%20chi%20du%20toan%20giao%202026/du%20toan%20v&#224;%20thuc%20chi%202026%20chuan%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HỐI CÁC PHÒNG BAN NGÀNH"/>
      <sheetName val="PHỤ CẤP ĐB HDND"/>
      <sheetName val="Phụ cấp BCH Đảng bộ"/>
      <sheetName val="KHÔNG CHUYÊN TRÁCH"/>
      <sheetName val="SỰ NGHIỆP Y TẾ"/>
      <sheetName val="Công tiêm"/>
      <sheetName val="NGƯỜI LÀM VIỆC TRỰC TIẾP Ở TDP"/>
      <sheetName val="GIÀ YẾU NGHỈ VIỆC"/>
      <sheetName val="AN NINH TRẬT TỰ"/>
      <sheetName val="SN CHUYỂN ĐỔI SỐ"/>
      <sheetName val="GIÁO DỤC"/>
      <sheetName val="Xã của HY cũ"/>
      <sheetName val="NQ169"/>
      <sheetName val="NQ338"/>
      <sheetName val="NQ 536 Hưng yên"/>
      <sheetName val="KP tặng quà cho NCT"/>
      <sheetName val="PC 50 năm tuổi Đảng "/>
    </sheetNames>
    <sheetDataSet>
      <sheetData sheetId="0" refreshError="1">
        <row r="14">
          <cell r="I14">
            <v>340000000</v>
          </cell>
        </row>
        <row r="22">
          <cell r="I22">
            <v>374000000</v>
          </cell>
        </row>
      </sheetData>
      <sheetData sheetId="1" refreshError="1">
        <row r="6">
          <cell r="J6">
            <v>540540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T2025"/>
      <sheetName val="DT CHI 2026"/>
      <sheetName val="DT CHI 2026 TÍNH TIẾT KIỆM CHI"/>
    </sheetNames>
    <sheetDataSet>
      <sheetData sheetId="0" refreshError="1"/>
      <sheetData sheetId="1" refreshError="1">
        <row r="33">
          <cell r="B33" t="str">
            <v>Chi hoạt động sự nghiệp giáo dục của Phòng văn hóa - xã hội xã, phường (3% KP hoạt đồng của trường)</v>
          </cell>
        </row>
        <row r="72">
          <cell r="B72" t="str">
            <v xml:space="preserve">Sự nghiệp bảo vệ môi trường </v>
          </cell>
        </row>
        <row r="73">
          <cell r="B73" t="str">
            <v xml:space="preserve"> - Hoạt động thường xuyên về môi trường</v>
          </cell>
        </row>
        <row r="74">
          <cell r="B74" t="str">
            <v xml:space="preserve"> - KP hỗ trợ xây dựng cơ chế hoạt  động về phân loại
 rác thải sinh hoạt tại nguồn trong xây dựng nông thôn mới; </v>
          </cell>
          <cell r="K74">
            <v>120000</v>
          </cell>
        </row>
        <row r="75">
          <cell r="B75" t="str">
            <v xml:space="preserve"> - Kinh phí hỗ trợ thu gom, vận chuyển, xử lý rác thải sinh hoạt</v>
          </cell>
          <cell r="K75">
            <v>703000</v>
          </cell>
        </row>
        <row r="76">
          <cell r="B76" t="str">
            <v xml:space="preserve">  - Kinh phí xử lý rác thải sinh hoạt đối với xã, phường (chưa thuộc phạm vi của dự án xử lý rác thải sinh hoạt do doanh nghiệp đầu tư) tự thực hiện xử lý rác thải sinh hoạt bằng công nghệ lò đốt hoặc công nghệ khác</v>
          </cell>
          <cell r="K76">
            <v>937000</v>
          </cell>
        </row>
        <row r="86">
          <cell r="B86" t="str">
            <v>Sự nghiệp giao thông</v>
          </cell>
        </row>
        <row r="88">
          <cell r="B88" t="str">
            <v xml:space="preserve"> KP đảm bảo an toàn giao thông</v>
          </cell>
          <cell r="K88">
            <v>100000</v>
          </cell>
        </row>
        <row r="89">
          <cell r="B89" t="str">
            <v>Chi khác</v>
          </cell>
          <cell r="K89">
            <v>100000</v>
          </cell>
        </row>
        <row r="90">
          <cell r="B90" t="str">
            <v xml:space="preserve"> - Kinh phí duy tu, bảo dưỡng các tuyến đường, cầu đường bộ thuộc phạm vi quản lý</v>
          </cell>
          <cell r="K90">
            <v>1171000</v>
          </cell>
        </row>
        <row r="93">
          <cell r="B93" t="str">
            <v>- Hỗ trợ kinh phí trồng cây nhân dân (tết trồng cây)</v>
          </cell>
        </row>
        <row r="94">
          <cell r="B94" t="str">
            <v>- Phòng chống thiên tai, dịch bệnh</v>
          </cell>
        </row>
        <row r="95">
          <cell r="B95" t="str">
            <v>- Thủy lợi nội đồng</v>
          </cell>
          <cell r="K95">
            <v>120000</v>
          </cell>
        </row>
        <row r="96">
          <cell r="B96" t="str">
            <v xml:space="preserve"> - KP thực hiện Nghị quyết số 776/2025/NQ-HĐND ngày 12/11/2025 của HĐND tỉnh </v>
          </cell>
        </row>
        <row r="97">
          <cell r="B97" t="str">
            <v>Duy tu bảo dưỡng công trình phục vụ công cộng, sự nghiệp kiến thiết thị chính, tài nguyên địa chính (gồm cả khảo sát giá đất), sự nghiệp kinh tế khác</v>
          </cell>
        </row>
        <row r="99">
          <cell r="B99" t="str">
            <v xml:space="preserve"> Sự nghiệp thị chính (cấp thoát nước, cây xanh, đô thị, duy trì, baỏ dưỡng hệ thống chiếu sáng khu vực trung tâm phường  và các tổ dân phố và các nhiệm vụ khác)</v>
          </cell>
        </row>
        <row r="100">
          <cell r="B100" t="str">
            <v>Chi khảo sát giá đất, tư vấn thẩm định giá đất và
 Hội đồng thẩm định giá đất cụ thể</v>
          </cell>
          <cell r="K100">
            <v>500000</v>
          </cell>
        </row>
        <row r="101">
          <cell r="B101" t="str">
            <v>Chi phí đấu giá đất theo Thông tư 03/2025/TT-BTC</v>
          </cell>
          <cell r="K101">
            <v>300000</v>
          </cell>
        </row>
        <row r="104">
          <cell r="B104" t="str">
            <v>Nạo vét Đông Xuân  năm 2025-2026</v>
          </cell>
          <cell r="K104">
            <v>912000</v>
          </cell>
        </row>
        <row r="105">
          <cell r="B105" t="str">
            <v>Kinh phí hỗ trợ hoạt động bảo vệ đất trồng lúa theo 
Nghị quyết số 775/2025/NQ-HĐND của HĐND tỉnh</v>
          </cell>
          <cell r="K105">
            <v>865000</v>
          </cell>
        </row>
        <row r="121">
          <cell r="B121" t="str">
            <v>Công tác cải cách hành chính</v>
          </cell>
        </row>
      </sheetData>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HỐI CÁC PHÒNG BAN NGÀNH"/>
      <sheetName val="PHỤ CẤP ĐB HDND"/>
      <sheetName val="SN giao dục"/>
      <sheetName val="SN kinh tế khác"/>
      <sheetName val="Phụ cấp BCH Đảng bộ"/>
      <sheetName val="KHÔNG CHUYÊN TRÁCH"/>
      <sheetName val="SỰ NGHIỆP Y TẾ"/>
      <sheetName val="Công tiêm"/>
      <sheetName val="NGƯỜI LÀM VIỆC TRỰC TIẾP Ở TDP"/>
      <sheetName val="GIÀ YẾU NGHỈ VIỆC"/>
      <sheetName val="AN NINH TRẬT TỰ"/>
      <sheetName val="Chuyển đổi số"/>
      <sheetName val="phụ lục QD giao nhiẹm vụ dự án"/>
      <sheetName val="GIÁO DỤC"/>
      <sheetName val="Xã của HY cũ"/>
      <sheetName val="NQ169"/>
      <sheetName val="NQ338"/>
      <sheetName val="NQ 536 Hưng yên"/>
      <sheetName val="KP tặng quà cho NCT"/>
      <sheetName val="PC 50 năm tuổi Đảng "/>
    </sheetNames>
    <sheetDataSet>
      <sheetData sheetId="0" refreshError="1"/>
      <sheetData sheetId="1" refreshError="1"/>
      <sheetData sheetId="2" refreshError="1"/>
      <sheetData sheetId="3" refreshError="1">
        <row r="8">
          <cell r="B8" t="str">
            <v>Nâng cấp, cải tạo các tuyến đường TDP Nhân Vinh, Phường Đường Hào ( Đoạn 1 từ đường Nguyễn Trung Ngạn đến nghĩa trang, đoạn 2 từ đường Nguyễn Trung Ngạn đến nhà bà Hạnh)</v>
          </cell>
        </row>
        <row r="9">
          <cell r="B9" t="str">
            <v xml:space="preserve">Cải tạo, nâng cấp đường giao thông TDP Ngọc Lập, phường Đường Hào </v>
          </cell>
        </row>
        <row r="10">
          <cell r="B10" t="str">
            <v>Cải tạo, nâng cấp đường giao thông  TDP Long Đằng, phường Đường Hào</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ẫu 48"/>
    </sheetNames>
    <sheetDataSet>
      <sheetData sheetId="0">
        <row r="174">
          <cell r="C174">
            <v>2200000000</v>
          </cell>
        </row>
        <row r="175">
          <cell r="C175">
            <v>11300000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ăn phòng "/>
      <sheetName val="phòng văn hoá"/>
      <sheetName val="phòng kinh tế"/>
      <sheetName val="Quỹ đền ơn đáp nghĩa"/>
      <sheetName val="Quỹ bảo trợ trẻ em"/>
      <sheetName val="Quỹ phòng chống thiên tai"/>
    </sheetNames>
    <sheetDataSet>
      <sheetData sheetId="0"/>
      <sheetData sheetId="1"/>
      <sheetData sheetId="2">
        <row r="12">
          <cell r="G12">
            <v>89550000</v>
          </cell>
        </row>
      </sheetData>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66"/>
  <sheetViews>
    <sheetView topLeftCell="K16" zoomScale="98" zoomScaleNormal="98" workbookViewId="0">
      <selection activeCell="R27" sqref="R27:S29"/>
    </sheetView>
  </sheetViews>
  <sheetFormatPr defaultColWidth="9" defaultRowHeight="15.75" x14ac:dyDescent="0.25"/>
  <cols>
    <col min="1" max="1" width="3.25" style="19" customWidth="1"/>
    <col min="2" max="2" width="4" style="39" customWidth="1"/>
    <col min="3" max="3" width="3.75" style="40" customWidth="1"/>
    <col min="4" max="4" width="3.375" style="40" customWidth="1"/>
    <col min="5" max="5" width="5.5" style="40" customWidth="1"/>
    <col min="6" max="6" width="34.375" style="41" customWidth="1"/>
    <col min="7" max="7" width="12.125" style="41" customWidth="1"/>
    <col min="8" max="8" width="10.625" style="41" customWidth="1"/>
    <col min="9" max="9" width="12.25" style="40" customWidth="1"/>
    <col min="10" max="10" width="11.625" style="40" customWidth="1"/>
    <col min="11" max="11" width="11.125" style="40" customWidth="1"/>
    <col min="12" max="12" width="13.125" style="19" customWidth="1"/>
    <col min="13" max="13" width="9.375" style="40" customWidth="1"/>
    <col min="14" max="14" width="10.875" style="19" customWidth="1"/>
    <col min="15" max="15" width="11.125" style="19" customWidth="1"/>
    <col min="16" max="16" width="10.25" style="19" customWidth="1"/>
    <col min="17" max="17" width="12.25" style="40" customWidth="1"/>
    <col min="18" max="18" width="13.5" style="19" customWidth="1"/>
    <col min="19" max="19" width="12.125" style="19" customWidth="1"/>
    <col min="20" max="20" width="11.5" style="19" customWidth="1"/>
    <col min="21" max="21" width="5.375" style="19" customWidth="1"/>
    <col min="22" max="22" width="5.875" style="19" customWidth="1"/>
    <col min="23" max="23" width="11.75" style="19" customWidth="1"/>
    <col min="24" max="24" width="11.5" style="19" customWidth="1"/>
    <col min="25" max="25" width="15.25" style="19" customWidth="1"/>
    <col min="26" max="26" width="12.25" style="19" customWidth="1"/>
    <col min="27" max="27" width="11.625" style="19" customWidth="1"/>
    <col min="28" max="28" width="12.625" style="19" bestFit="1" customWidth="1"/>
    <col min="29" max="30" width="9" style="19"/>
    <col min="31" max="16384" width="9" style="2"/>
  </cols>
  <sheetData>
    <row r="1" spans="1:28" s="19" customFormat="1" x14ac:dyDescent="0.25">
      <c r="A1" s="271" t="s">
        <v>126</v>
      </c>
      <c r="B1" s="271"/>
      <c r="C1" s="271"/>
      <c r="D1" s="271"/>
      <c r="E1" s="271"/>
      <c r="F1" s="271"/>
      <c r="G1" s="271"/>
      <c r="H1" s="271"/>
      <c r="I1" s="271"/>
      <c r="J1" s="271"/>
      <c r="K1" s="271"/>
      <c r="L1" s="271"/>
      <c r="M1" s="271"/>
      <c r="N1" s="271"/>
      <c r="O1" s="271"/>
      <c r="P1" s="271"/>
      <c r="Q1" s="271"/>
      <c r="R1" s="271"/>
      <c r="S1" s="271"/>
      <c r="T1" s="271"/>
      <c r="U1" s="271"/>
      <c r="V1" s="271"/>
      <c r="W1" s="271"/>
      <c r="X1" s="271"/>
      <c r="Y1" s="271"/>
      <c r="Z1" s="271"/>
      <c r="AA1" s="271"/>
    </row>
    <row r="2" spans="1:28" s="19" customFormat="1" x14ac:dyDescent="0.25">
      <c r="A2" s="272" t="s">
        <v>314</v>
      </c>
      <c r="B2" s="272"/>
      <c r="C2" s="272"/>
      <c r="D2" s="272"/>
      <c r="E2" s="272"/>
      <c r="F2" s="272"/>
      <c r="G2" s="272"/>
      <c r="H2" s="272"/>
      <c r="I2" s="272"/>
      <c r="J2" s="272"/>
      <c r="K2" s="272"/>
      <c r="L2" s="272"/>
      <c r="M2" s="272"/>
      <c r="N2" s="272"/>
      <c r="O2" s="272"/>
      <c r="P2" s="272"/>
      <c r="Q2" s="272"/>
      <c r="R2" s="272"/>
      <c r="S2" s="272"/>
      <c r="T2" s="272"/>
      <c r="U2" s="272"/>
      <c r="V2" s="272"/>
      <c r="W2" s="272"/>
      <c r="X2" s="272"/>
      <c r="Y2" s="272"/>
      <c r="Z2" s="272"/>
      <c r="AA2" s="272"/>
    </row>
    <row r="3" spans="1:28" s="19" customFormat="1" ht="7.5" customHeight="1" x14ac:dyDescent="0.25">
      <c r="A3" s="230"/>
      <c r="B3" s="230"/>
      <c r="C3" s="230"/>
      <c r="D3" s="230"/>
      <c r="E3" s="230"/>
      <c r="F3" s="230"/>
      <c r="G3" s="230"/>
      <c r="H3" s="230"/>
      <c r="I3" s="35"/>
      <c r="J3" s="35"/>
      <c r="K3" s="35"/>
      <c r="L3" s="35"/>
      <c r="M3" s="35"/>
      <c r="N3" s="35"/>
      <c r="O3" s="35"/>
      <c r="P3" s="35"/>
      <c r="Q3" s="35"/>
      <c r="R3" s="35"/>
      <c r="S3" s="35"/>
      <c r="T3" s="35"/>
      <c r="U3" s="35"/>
      <c r="V3" s="35"/>
      <c r="W3" s="35"/>
      <c r="X3" s="35"/>
      <c r="Y3" s="35"/>
      <c r="Z3" s="35"/>
      <c r="AA3" s="35"/>
    </row>
    <row r="4" spans="1:28" s="15" customFormat="1" ht="21" customHeight="1" x14ac:dyDescent="0.25">
      <c r="A4" s="273" t="s">
        <v>0</v>
      </c>
      <c r="B4" s="273" t="s">
        <v>19</v>
      </c>
      <c r="C4" s="273" t="s">
        <v>20</v>
      </c>
      <c r="D4" s="273" t="s">
        <v>21</v>
      </c>
      <c r="E4" s="273" t="s">
        <v>134</v>
      </c>
      <c r="F4" s="274" t="s">
        <v>22</v>
      </c>
      <c r="G4" s="276" t="s">
        <v>312</v>
      </c>
      <c r="H4" s="275" t="s">
        <v>29</v>
      </c>
      <c r="I4" s="275"/>
      <c r="J4" s="275"/>
      <c r="K4" s="275"/>
      <c r="L4" s="275"/>
      <c r="M4" s="275"/>
      <c r="N4" s="275"/>
      <c r="O4" s="275"/>
      <c r="P4" s="275"/>
      <c r="Q4" s="275"/>
      <c r="R4" s="273" t="s">
        <v>27</v>
      </c>
      <c r="S4" s="273"/>
      <c r="T4" s="273"/>
      <c r="U4" s="273"/>
      <c r="V4" s="273"/>
      <c r="W4" s="273" t="s">
        <v>28</v>
      </c>
      <c r="X4" s="273"/>
      <c r="Y4" s="273"/>
      <c r="Z4" s="273"/>
      <c r="AA4" s="273"/>
    </row>
    <row r="5" spans="1:28" s="16" customFormat="1" ht="21.75" customHeight="1" x14ac:dyDescent="0.25">
      <c r="A5" s="273"/>
      <c r="B5" s="273"/>
      <c r="C5" s="273"/>
      <c r="D5" s="273"/>
      <c r="E5" s="273"/>
      <c r="F5" s="274"/>
      <c r="G5" s="277"/>
      <c r="H5" s="274" t="s">
        <v>125</v>
      </c>
      <c r="I5" s="275" t="s">
        <v>30</v>
      </c>
      <c r="J5" s="275" t="s">
        <v>311</v>
      </c>
      <c r="K5" s="275"/>
      <c r="L5" s="275"/>
      <c r="M5" s="275"/>
      <c r="N5" s="275"/>
      <c r="O5" s="275" t="s">
        <v>32</v>
      </c>
      <c r="P5" s="275"/>
      <c r="Q5" s="275"/>
      <c r="R5" s="232" t="s">
        <v>33</v>
      </c>
      <c r="S5" s="229" t="s">
        <v>23</v>
      </c>
      <c r="T5" s="229" t="s">
        <v>24</v>
      </c>
      <c r="U5" s="229" t="s">
        <v>25</v>
      </c>
      <c r="V5" s="232" t="s">
        <v>26</v>
      </c>
      <c r="W5" s="232" t="s">
        <v>34</v>
      </c>
      <c r="X5" s="229" t="s">
        <v>23</v>
      </c>
      <c r="Y5" s="229" t="s">
        <v>24</v>
      </c>
      <c r="Z5" s="229" t="s">
        <v>25</v>
      </c>
      <c r="AA5" s="232" t="s">
        <v>26</v>
      </c>
      <c r="AB5" s="15"/>
    </row>
    <row r="6" spans="1:28" s="16" customFormat="1" ht="17.25" customHeight="1" x14ac:dyDescent="0.25">
      <c r="A6" s="273"/>
      <c r="B6" s="273"/>
      <c r="C6" s="273"/>
      <c r="D6" s="273"/>
      <c r="E6" s="273"/>
      <c r="F6" s="274"/>
      <c r="G6" s="278"/>
      <c r="H6" s="274"/>
      <c r="I6" s="275"/>
      <c r="J6" s="232" t="s">
        <v>58</v>
      </c>
      <c r="K6" s="232" t="s">
        <v>23</v>
      </c>
      <c r="L6" s="232" t="s">
        <v>24</v>
      </c>
      <c r="M6" s="232" t="s">
        <v>25</v>
      </c>
      <c r="N6" s="232" t="s">
        <v>26</v>
      </c>
      <c r="O6" s="232" t="s">
        <v>1</v>
      </c>
      <c r="P6" s="232" t="s">
        <v>23</v>
      </c>
      <c r="Q6" s="232" t="s">
        <v>24</v>
      </c>
      <c r="R6" s="232"/>
      <c r="S6" s="74"/>
      <c r="T6" s="75"/>
      <c r="U6" s="75"/>
      <c r="V6" s="75"/>
      <c r="W6" s="75"/>
      <c r="X6" s="231"/>
      <c r="Y6" s="231"/>
      <c r="Z6" s="231"/>
      <c r="AA6" s="75"/>
      <c r="AB6" s="15"/>
    </row>
    <row r="7" spans="1:28" s="16" customFormat="1" ht="23.25" customHeight="1" x14ac:dyDescent="0.25">
      <c r="A7" s="274" t="s">
        <v>270</v>
      </c>
      <c r="B7" s="274"/>
      <c r="C7" s="274"/>
      <c r="D7" s="274"/>
      <c r="E7" s="274"/>
      <c r="F7" s="274"/>
      <c r="G7" s="247">
        <f>H7+I7</f>
        <v>38279379646</v>
      </c>
      <c r="H7" s="247">
        <f>H13+H15+H21+H30+H40+H68+H77+H82+H85+H88+H103+H106+H107+H113+H115+H117+H119+H120+H121+H122+H125+H127+H132+H133+H134+H135+H136+H137+H138</f>
        <v>38968000</v>
      </c>
      <c r="I7" s="247">
        <f>I13+I15+I21+I30+I40+I68+I77+I82+I85+I88+I103+I106+I107+I113+I115+I117+I119+I120+I121+I122+I125+I127+I132+I133+I134+I135+I136+I137+I138+I8</f>
        <v>38240411646</v>
      </c>
      <c r="J7" s="247">
        <f>J13+J15+J21+J30+J40+J68+J77+J82+J85+J88+J103+J106+J107+J113+J115+J117+J119+J120+J121+J122+J125+J127+J132+J133+J134+J135+J136+J137+J138+J8</f>
        <v>30215215626</v>
      </c>
      <c r="K7" s="247">
        <f>K13+K15+K21+K30+K40+K68+K77+K82+K85+K88+K103+K106+K107+K113+K115+K117+K119+K120+K121+K122+K125+K127+K132+K133+K134+K135+K136+K137+K138+K8</f>
        <v>15341721626</v>
      </c>
      <c r="L7" s="247">
        <f t="shared" ref="L7:Q7" si="0">L13+L15+L21+L30+L40+L68+L77+L82+L85+L88+L103+L106+L107+L113+L115+L117+L119+L120+L121+L122+L125+L127+L132+L133+L134+L135+L136+L137+L138</f>
        <v>14190700000</v>
      </c>
      <c r="M7" s="247">
        <f t="shared" si="0"/>
        <v>190494000</v>
      </c>
      <c r="N7" s="247">
        <f t="shared" si="0"/>
        <v>492300000</v>
      </c>
      <c r="O7" s="247">
        <f t="shared" si="0"/>
        <v>8025196020</v>
      </c>
      <c r="P7" s="247">
        <f t="shared" si="0"/>
        <v>407914620</v>
      </c>
      <c r="Q7" s="247">
        <f t="shared" si="0"/>
        <v>7617281400</v>
      </c>
      <c r="R7" s="252">
        <f>R13+R15+R21+R30+R40+R68+R77+R82+R85+R88+R103+R106+R107+R113+R115+R117+R119+R120+R121+R122+R125+R127+R132+R133+R134+R135+R136+R137+R138+R8</f>
        <v>18059263224.5</v>
      </c>
      <c r="S7" s="252">
        <f>S13+S15+S21+S30+S40+S68+S77+S82+S85+S88+S103+S106+S107+S113+S115+S117+S119+S120+S121+S122+S125+S127+S132+S133+S134+S135+S136+S137+S138+S8</f>
        <v>11126488309.5</v>
      </c>
      <c r="T7" s="247">
        <f t="shared" ref="T7:AA7" si="1">T13+T15+T21+T30+T40+T68+T77+T82+T85+T88+T103+T106+T107+T113+T115+T117+T119+T120+T121+T122+T125+T127+T132+T133+T134+T135+T136+T137+T138</f>
        <v>6932774915</v>
      </c>
      <c r="U7" s="247">
        <f t="shared" si="1"/>
        <v>0</v>
      </c>
      <c r="V7" s="247">
        <f t="shared" si="1"/>
        <v>0</v>
      </c>
      <c r="W7" s="247">
        <f t="shared" si="1"/>
        <v>20220116421.5</v>
      </c>
      <c r="X7" s="252">
        <f t="shared" si="1"/>
        <v>4636311936.5</v>
      </c>
      <c r="Y7" s="247">
        <f t="shared" si="1"/>
        <v>14901010485</v>
      </c>
      <c r="Z7" s="247">
        <f t="shared" si="1"/>
        <v>190494000</v>
      </c>
      <c r="AA7" s="247">
        <f t="shared" si="1"/>
        <v>492300000</v>
      </c>
      <c r="AB7" s="253">
        <f>G7-R7</f>
        <v>20220116421.5</v>
      </c>
    </row>
    <row r="8" spans="1:28" s="16" customFormat="1" ht="23.25" customHeight="1" x14ac:dyDescent="0.25">
      <c r="A8" s="229">
        <v>1</v>
      </c>
      <c r="B8" s="229">
        <v>830</v>
      </c>
      <c r="C8" s="249" t="s">
        <v>306</v>
      </c>
      <c r="D8" s="249" t="s">
        <v>305</v>
      </c>
      <c r="E8" s="229"/>
      <c r="F8" s="76" t="s">
        <v>315</v>
      </c>
      <c r="G8" s="247">
        <f>I8</f>
        <v>29226626</v>
      </c>
      <c r="H8" s="247"/>
      <c r="I8" s="247">
        <v>29226626</v>
      </c>
      <c r="J8" s="247">
        <f>K8</f>
        <v>29226626</v>
      </c>
      <c r="K8" s="247">
        <f>I8</f>
        <v>29226626</v>
      </c>
      <c r="L8" s="247"/>
      <c r="M8" s="247"/>
      <c r="N8" s="247"/>
      <c r="O8" s="247"/>
      <c r="P8" s="92"/>
      <c r="Q8" s="247"/>
      <c r="R8" s="247">
        <f>SUM(R9:R12)</f>
        <v>29226626</v>
      </c>
      <c r="S8" s="247">
        <f>R8</f>
        <v>29226626</v>
      </c>
      <c r="T8" s="247"/>
      <c r="U8" s="247"/>
      <c r="V8" s="247"/>
      <c r="W8" s="247"/>
      <c r="X8" s="247"/>
      <c r="Y8" s="247"/>
      <c r="Z8" s="247"/>
      <c r="AA8" s="247"/>
      <c r="AB8" s="15"/>
    </row>
    <row r="9" spans="1:28" s="11" customFormat="1" ht="23.25" customHeight="1" x14ac:dyDescent="0.25">
      <c r="A9" s="115"/>
      <c r="B9" s="115"/>
      <c r="C9" s="250"/>
      <c r="D9" s="250" t="s">
        <v>305</v>
      </c>
      <c r="E9" s="115">
        <v>6001</v>
      </c>
      <c r="F9" s="115" t="s">
        <v>308</v>
      </c>
      <c r="G9" s="251"/>
      <c r="H9" s="251"/>
      <c r="I9" s="251"/>
      <c r="J9" s="251"/>
      <c r="K9" s="251"/>
      <c r="L9" s="251"/>
      <c r="M9" s="251"/>
      <c r="N9" s="251"/>
      <c r="O9" s="251"/>
      <c r="P9" s="91"/>
      <c r="Q9" s="251"/>
      <c r="R9" s="251">
        <v>16518060</v>
      </c>
      <c r="S9" s="251">
        <f>R9</f>
        <v>16518060</v>
      </c>
      <c r="T9" s="251"/>
      <c r="U9" s="251"/>
      <c r="V9" s="251"/>
      <c r="W9" s="251"/>
      <c r="X9" s="251"/>
      <c r="Y9" s="251"/>
      <c r="Z9" s="251"/>
      <c r="AA9" s="251"/>
      <c r="AB9" s="14"/>
    </row>
    <row r="10" spans="1:28" s="11" customFormat="1" ht="23.25" customHeight="1" x14ac:dyDescent="0.25">
      <c r="A10" s="115"/>
      <c r="B10" s="115"/>
      <c r="C10" s="250"/>
      <c r="D10" s="250" t="s">
        <v>305</v>
      </c>
      <c r="E10" s="115">
        <v>6115</v>
      </c>
      <c r="F10" s="115" t="s">
        <v>307</v>
      </c>
      <c r="G10" s="251"/>
      <c r="H10" s="251"/>
      <c r="I10" s="251"/>
      <c r="J10" s="251"/>
      <c r="K10" s="251"/>
      <c r="L10" s="251"/>
      <c r="M10" s="251"/>
      <c r="N10" s="251"/>
      <c r="O10" s="251"/>
      <c r="P10" s="91"/>
      <c r="Q10" s="251"/>
      <c r="R10" s="251">
        <v>1660701</v>
      </c>
      <c r="S10" s="251">
        <f>R10</f>
        <v>1660701</v>
      </c>
      <c r="T10" s="251"/>
      <c r="U10" s="251"/>
      <c r="V10" s="251"/>
      <c r="W10" s="251"/>
      <c r="X10" s="251"/>
      <c r="Y10" s="251"/>
      <c r="Z10" s="251"/>
      <c r="AA10" s="251"/>
      <c r="AB10" s="14"/>
    </row>
    <row r="11" spans="1:28" s="11" customFormat="1" ht="23.25" customHeight="1" x14ac:dyDescent="0.25">
      <c r="A11" s="115"/>
      <c r="B11" s="115"/>
      <c r="C11" s="250"/>
      <c r="D11" s="250" t="s">
        <v>305</v>
      </c>
      <c r="E11" s="115">
        <v>6124</v>
      </c>
      <c r="F11" s="115" t="s">
        <v>309</v>
      </c>
      <c r="G11" s="251"/>
      <c r="H11" s="251"/>
      <c r="I11" s="251"/>
      <c r="J11" s="251"/>
      <c r="K11" s="251"/>
      <c r="L11" s="251"/>
      <c r="M11" s="251"/>
      <c r="N11" s="251"/>
      <c r="O11" s="251"/>
      <c r="P11" s="91"/>
      <c r="Q11" s="251"/>
      <c r="R11" s="251">
        <v>5021757</v>
      </c>
      <c r="S11" s="251">
        <f>R11</f>
        <v>5021757</v>
      </c>
      <c r="T11" s="251"/>
      <c r="U11" s="251"/>
      <c r="V11" s="251"/>
      <c r="W11" s="251"/>
      <c r="X11" s="251"/>
      <c r="Y11" s="251"/>
      <c r="Z11" s="251"/>
      <c r="AA11" s="251"/>
      <c r="AB11" s="14"/>
    </row>
    <row r="12" spans="1:28" s="11" customFormat="1" ht="23.25" customHeight="1" x14ac:dyDescent="0.25">
      <c r="A12" s="115"/>
      <c r="B12" s="115"/>
      <c r="C12" s="250"/>
      <c r="D12" s="250" t="s">
        <v>305</v>
      </c>
      <c r="E12" s="115">
        <v>6301</v>
      </c>
      <c r="F12" s="115" t="s">
        <v>310</v>
      </c>
      <c r="G12" s="251"/>
      <c r="H12" s="251"/>
      <c r="I12" s="251"/>
      <c r="J12" s="251"/>
      <c r="K12" s="251"/>
      <c r="L12" s="251"/>
      <c r="M12" s="251"/>
      <c r="N12" s="251"/>
      <c r="O12" s="251"/>
      <c r="P12" s="91"/>
      <c r="Q12" s="251"/>
      <c r="R12" s="251">
        <v>6026108</v>
      </c>
      <c r="S12" s="251">
        <f>R12</f>
        <v>6026108</v>
      </c>
      <c r="T12" s="251"/>
      <c r="U12" s="251"/>
      <c r="V12" s="251"/>
      <c r="W12" s="251"/>
      <c r="X12" s="251"/>
      <c r="Y12" s="251"/>
      <c r="Z12" s="251"/>
      <c r="AA12" s="251"/>
      <c r="AB12" s="14"/>
    </row>
    <row r="13" spans="1:28" s="16" customFormat="1" ht="16.5" customHeight="1" x14ac:dyDescent="0.25">
      <c r="A13" s="87">
        <v>2</v>
      </c>
      <c r="B13" s="87">
        <v>830</v>
      </c>
      <c r="C13" s="87" t="s">
        <v>84</v>
      </c>
      <c r="D13" s="87" t="s">
        <v>3</v>
      </c>
      <c r="E13" s="87"/>
      <c r="F13" s="85" t="s">
        <v>85</v>
      </c>
      <c r="G13" s="85">
        <f>I13</f>
        <v>90000000</v>
      </c>
      <c r="H13" s="85"/>
      <c r="I13" s="77">
        <f>J13+O13</f>
        <v>90000000</v>
      </c>
      <c r="J13" s="77">
        <f>SUM(K13:N13)</f>
        <v>90000000</v>
      </c>
      <c r="K13" s="94">
        <f t="shared" ref="K13:V13" si="2">K14</f>
        <v>72900000</v>
      </c>
      <c r="L13" s="94">
        <f t="shared" si="2"/>
        <v>0</v>
      </c>
      <c r="M13" s="94">
        <f t="shared" si="2"/>
        <v>0</v>
      </c>
      <c r="N13" s="94">
        <f t="shared" si="2"/>
        <v>17100000</v>
      </c>
      <c r="O13" s="94">
        <f t="shared" si="2"/>
        <v>0</v>
      </c>
      <c r="P13" s="94">
        <f t="shared" si="2"/>
        <v>0</v>
      </c>
      <c r="Q13" s="94">
        <f t="shared" si="2"/>
        <v>0</v>
      </c>
      <c r="R13" s="94">
        <f t="shared" si="2"/>
        <v>0</v>
      </c>
      <c r="S13" s="94">
        <f t="shared" si="2"/>
        <v>0</v>
      </c>
      <c r="T13" s="94">
        <f t="shared" si="2"/>
        <v>0</v>
      </c>
      <c r="U13" s="94">
        <f t="shared" si="2"/>
        <v>0</v>
      </c>
      <c r="V13" s="94">
        <f t="shared" si="2"/>
        <v>0</v>
      </c>
      <c r="W13" s="75">
        <f>W14</f>
        <v>90000000</v>
      </c>
      <c r="X13" s="94">
        <f>X14</f>
        <v>72900000</v>
      </c>
      <c r="Y13" s="86"/>
      <c r="Z13" s="94">
        <f>Z14</f>
        <v>0</v>
      </c>
      <c r="AA13" s="94">
        <f>AA14</f>
        <v>17100000</v>
      </c>
      <c r="AB13" s="15"/>
    </row>
    <row r="14" spans="1:28" s="11" customFormat="1" ht="14.25" customHeight="1" x14ac:dyDescent="0.25">
      <c r="A14" s="78"/>
      <c r="B14" s="78"/>
      <c r="C14" s="78"/>
      <c r="D14" s="108" t="s">
        <v>3</v>
      </c>
      <c r="E14" s="108"/>
      <c r="F14" s="79" t="s">
        <v>2</v>
      </c>
      <c r="G14" s="79"/>
      <c r="H14" s="79"/>
      <c r="I14" s="80">
        <f>J14+O14</f>
        <v>90000000</v>
      </c>
      <c r="J14" s="80">
        <f>SUM(K14:N14)</f>
        <v>90000000</v>
      </c>
      <c r="K14" s="194">
        <f>90000000-N14</f>
        <v>72900000</v>
      </c>
      <c r="L14" s="194"/>
      <c r="M14" s="194"/>
      <c r="N14" s="90">
        <f>9000000+8100000</f>
        <v>17100000</v>
      </c>
      <c r="O14" s="90">
        <f>SUM(P14:Q14)</f>
        <v>0</v>
      </c>
      <c r="P14" s="90"/>
      <c r="Q14" s="81"/>
      <c r="R14" s="81">
        <v>0</v>
      </c>
      <c r="S14" s="82"/>
      <c r="T14" s="81"/>
      <c r="U14" s="81"/>
      <c r="V14" s="81"/>
      <c r="W14" s="75">
        <f>X14+AA14</f>
        <v>90000000</v>
      </c>
      <c r="X14" s="195">
        <f>K14</f>
        <v>72900000</v>
      </c>
      <c r="Y14" s="86"/>
      <c r="Z14" s="78"/>
      <c r="AA14" s="81">
        <f>N14</f>
        <v>17100000</v>
      </c>
      <c r="AB14" s="14"/>
    </row>
    <row r="15" spans="1:28" s="16" customFormat="1" ht="24.75" customHeight="1" x14ac:dyDescent="0.25">
      <c r="A15" s="87">
        <v>3</v>
      </c>
      <c r="B15" s="87">
        <v>830</v>
      </c>
      <c r="C15" s="87">
        <v>100</v>
      </c>
      <c r="D15" s="87">
        <v>108</v>
      </c>
      <c r="E15" s="87"/>
      <c r="F15" s="85" t="s">
        <v>86</v>
      </c>
      <c r="G15" s="85"/>
      <c r="H15" s="85"/>
      <c r="I15" s="77">
        <f>J15+O15</f>
        <v>10000000</v>
      </c>
      <c r="J15" s="77">
        <f>SUM(K15:N15)</f>
        <v>10000000</v>
      </c>
      <c r="K15" s="94">
        <f>K16</f>
        <v>0</v>
      </c>
      <c r="L15" s="94">
        <f>L16</f>
        <v>10000000</v>
      </c>
      <c r="M15" s="94">
        <f>M16</f>
        <v>0</v>
      </c>
      <c r="N15" s="94">
        <f>N16</f>
        <v>0</v>
      </c>
      <c r="O15" s="94">
        <f>SUM(P15:Q15)</f>
        <v>0</v>
      </c>
      <c r="P15" s="94"/>
      <c r="Q15" s="75"/>
      <c r="R15" s="75">
        <f>R16</f>
        <v>10000000</v>
      </c>
      <c r="S15" s="74"/>
      <c r="T15" s="75">
        <f>T16</f>
        <v>10000000</v>
      </c>
      <c r="U15" s="75"/>
      <c r="V15" s="75"/>
      <c r="W15" s="75">
        <f t="shared" ref="W15:W39" si="3">Y15</f>
        <v>0</v>
      </c>
      <c r="X15" s="231"/>
      <c r="Y15" s="86"/>
      <c r="Z15" s="231"/>
      <c r="AA15" s="75"/>
      <c r="AB15" s="15"/>
    </row>
    <row r="16" spans="1:28" s="11" customFormat="1" ht="20.25" customHeight="1" x14ac:dyDescent="0.25">
      <c r="A16" s="78"/>
      <c r="B16" s="78"/>
      <c r="C16" s="78"/>
      <c r="D16" s="78">
        <v>108</v>
      </c>
      <c r="E16" s="78"/>
      <c r="F16" s="79" t="s">
        <v>87</v>
      </c>
      <c r="G16" s="79"/>
      <c r="H16" s="79"/>
      <c r="I16" s="80">
        <f>J16+O16</f>
        <v>10000000</v>
      </c>
      <c r="J16" s="80">
        <f>SUM(K16:N16)</f>
        <v>10000000</v>
      </c>
      <c r="K16" s="109"/>
      <c r="L16" s="90">
        <v>10000000</v>
      </c>
      <c r="M16" s="109"/>
      <c r="N16" s="109"/>
      <c r="O16" s="90">
        <f>SUM(P16:Q16)</f>
        <v>0</v>
      </c>
      <c r="P16" s="109"/>
      <c r="Q16" s="81"/>
      <c r="R16" s="81">
        <f>SUM(R17)</f>
        <v>10000000</v>
      </c>
      <c r="S16" s="82"/>
      <c r="T16" s="81">
        <f>SUM(T17)</f>
        <v>10000000</v>
      </c>
      <c r="U16" s="81"/>
      <c r="V16" s="81"/>
      <c r="W16" s="75">
        <f t="shared" si="3"/>
        <v>0</v>
      </c>
      <c r="X16" s="78"/>
      <c r="Y16" s="86">
        <f t="shared" ref="Y16:Y39" si="4">L138</f>
        <v>0</v>
      </c>
      <c r="Z16" s="78"/>
      <c r="AA16" s="81"/>
      <c r="AB16" s="14"/>
    </row>
    <row r="17" spans="1:28" s="11" customFormat="1" ht="18" customHeight="1" x14ac:dyDescent="0.25">
      <c r="A17" s="78"/>
      <c r="B17" s="78"/>
      <c r="C17" s="78"/>
      <c r="D17" s="78">
        <v>108</v>
      </c>
      <c r="E17" s="78">
        <v>7053</v>
      </c>
      <c r="F17" s="79" t="s">
        <v>137</v>
      </c>
      <c r="G17" s="79"/>
      <c r="H17" s="79"/>
      <c r="I17" s="80"/>
      <c r="J17" s="80"/>
      <c r="K17" s="109"/>
      <c r="L17" s="90"/>
      <c r="M17" s="109"/>
      <c r="N17" s="109"/>
      <c r="O17" s="90"/>
      <c r="P17" s="109"/>
      <c r="Q17" s="81"/>
      <c r="R17" s="81">
        <f>T17</f>
        <v>10000000</v>
      </c>
      <c r="S17" s="82"/>
      <c r="T17" s="81">
        <f>10000000</f>
        <v>10000000</v>
      </c>
      <c r="U17" s="81"/>
      <c r="V17" s="81"/>
      <c r="W17" s="75">
        <f t="shared" si="3"/>
        <v>0</v>
      </c>
      <c r="X17" s="78"/>
      <c r="Y17" s="86">
        <f t="shared" si="4"/>
        <v>0</v>
      </c>
      <c r="Z17" s="78"/>
      <c r="AA17" s="81"/>
      <c r="AB17" s="14"/>
    </row>
    <row r="18" spans="1:28" s="16" customFormat="1" ht="17.25" customHeight="1" x14ac:dyDescent="0.25">
      <c r="A18" s="231">
        <v>4</v>
      </c>
      <c r="B18" s="231">
        <v>830</v>
      </c>
      <c r="C18" s="231">
        <v>340</v>
      </c>
      <c r="D18" s="231">
        <v>341</v>
      </c>
      <c r="E18" s="231"/>
      <c r="F18" s="85" t="s">
        <v>46</v>
      </c>
      <c r="G18" s="85"/>
      <c r="H18" s="85"/>
      <c r="I18" s="77"/>
      <c r="J18" s="77"/>
      <c r="K18" s="77"/>
      <c r="L18" s="77"/>
      <c r="M18" s="77"/>
      <c r="N18" s="77"/>
      <c r="O18" s="94"/>
      <c r="P18" s="77"/>
      <c r="Q18" s="75"/>
      <c r="R18" s="75"/>
      <c r="S18" s="74"/>
      <c r="T18" s="75"/>
      <c r="U18" s="75"/>
      <c r="V18" s="75"/>
      <c r="W18" s="75">
        <f t="shared" si="3"/>
        <v>0</v>
      </c>
      <c r="X18" s="231"/>
      <c r="Y18" s="86">
        <f t="shared" si="4"/>
        <v>0</v>
      </c>
      <c r="Z18" s="231"/>
      <c r="AA18" s="75"/>
      <c r="AB18" s="15"/>
    </row>
    <row r="19" spans="1:28" s="16" customFormat="1" ht="17.25" customHeight="1" x14ac:dyDescent="0.25">
      <c r="A19" s="231">
        <v>4.0999999999999996</v>
      </c>
      <c r="B19" s="231">
        <v>830</v>
      </c>
      <c r="C19" s="231">
        <v>340</v>
      </c>
      <c r="D19" s="231">
        <v>341</v>
      </c>
      <c r="E19" s="231"/>
      <c r="F19" s="85" t="s">
        <v>88</v>
      </c>
      <c r="G19" s="85"/>
      <c r="H19" s="85"/>
      <c r="I19" s="77">
        <f>J19+O19</f>
        <v>4373302000</v>
      </c>
      <c r="J19" s="77">
        <f>J20+J40</f>
        <v>4373302000</v>
      </c>
      <c r="K19" s="77">
        <f>K20+K40</f>
        <v>3029908000</v>
      </c>
      <c r="L19" s="77">
        <f>L20+L40</f>
        <v>886000000</v>
      </c>
      <c r="M19" s="77">
        <f>M20+M40</f>
        <v>190494000</v>
      </c>
      <c r="N19" s="77">
        <f>N20+N40</f>
        <v>266900000</v>
      </c>
      <c r="O19" s="94">
        <f>SUM(P19:Q19)</f>
        <v>0</v>
      </c>
      <c r="P19" s="77"/>
      <c r="Q19" s="75"/>
      <c r="R19" s="75"/>
      <c r="S19" s="74"/>
      <c r="T19" s="75"/>
      <c r="U19" s="75"/>
      <c r="V19" s="75"/>
      <c r="W19" s="75">
        <f t="shared" si="3"/>
        <v>0</v>
      </c>
      <c r="X19" s="231"/>
      <c r="Y19" s="86">
        <f t="shared" si="4"/>
        <v>0</v>
      </c>
      <c r="Z19" s="231"/>
      <c r="AA19" s="75">
        <f>AA20+AA40</f>
        <v>266900000</v>
      </c>
      <c r="AB19" s="15"/>
    </row>
    <row r="20" spans="1:28" s="16" customFormat="1" ht="23.25" customHeight="1" x14ac:dyDescent="0.25">
      <c r="A20" s="231"/>
      <c r="B20" s="231"/>
      <c r="C20" s="231"/>
      <c r="D20" s="231">
        <v>341</v>
      </c>
      <c r="E20" s="231"/>
      <c r="F20" s="85" t="s">
        <v>47</v>
      </c>
      <c r="G20" s="85"/>
      <c r="H20" s="85"/>
      <c r="I20" s="77">
        <f>J20+O20</f>
        <v>3316302000</v>
      </c>
      <c r="J20" s="77">
        <f>SUM(K20:N20)</f>
        <v>3316302000</v>
      </c>
      <c r="K20" s="94">
        <f>K21+K30</f>
        <v>3029908000</v>
      </c>
      <c r="L20" s="94">
        <f>L21+L30</f>
        <v>0</v>
      </c>
      <c r="M20" s="94">
        <f>M21+M30</f>
        <v>190494000</v>
      </c>
      <c r="N20" s="94">
        <f>N21+N30</f>
        <v>95900000</v>
      </c>
      <c r="O20" s="94">
        <f>SUM(P20:Q20)</f>
        <v>0</v>
      </c>
      <c r="P20" s="94"/>
      <c r="Q20" s="75"/>
      <c r="R20" s="75">
        <f>R21+R30</f>
        <v>2489806992.5</v>
      </c>
      <c r="S20" s="75">
        <f>S21+S30</f>
        <v>2489806992.5</v>
      </c>
      <c r="T20" s="75">
        <f>T21+T30</f>
        <v>0</v>
      </c>
      <c r="U20" s="75">
        <f>U21+U30</f>
        <v>0</v>
      </c>
      <c r="V20" s="75">
        <f>V21+V30</f>
        <v>0</v>
      </c>
      <c r="W20" s="75">
        <f>X20+Z20+AA20</f>
        <v>826495007.5</v>
      </c>
      <c r="X20" s="75">
        <f>X21+X30</f>
        <v>540101007.5</v>
      </c>
      <c r="Y20" s="86">
        <f t="shared" si="4"/>
        <v>0</v>
      </c>
      <c r="Z20" s="75">
        <f>Z21+Z30</f>
        <v>190494000</v>
      </c>
      <c r="AA20" s="75">
        <f>AA21+AA30</f>
        <v>95900000</v>
      </c>
      <c r="AB20" s="15"/>
    </row>
    <row r="21" spans="1:28" s="16" customFormat="1" ht="19.5" customHeight="1" x14ac:dyDescent="0.25">
      <c r="A21" s="231"/>
      <c r="B21" s="231"/>
      <c r="C21" s="231"/>
      <c r="D21" s="231">
        <v>341</v>
      </c>
      <c r="E21" s="231"/>
      <c r="F21" s="85" t="s">
        <v>4</v>
      </c>
      <c r="G21" s="85"/>
      <c r="H21" s="85"/>
      <c r="I21" s="77">
        <f>J21+O21</f>
        <v>2704302000</v>
      </c>
      <c r="J21" s="77">
        <f>SUM(K21:N21)</f>
        <v>2704302000</v>
      </c>
      <c r="K21" s="94">
        <f>1714453000+799355000</f>
        <v>2513808000</v>
      </c>
      <c r="L21" s="94"/>
      <c r="M21" s="94">
        <v>190494000</v>
      </c>
      <c r="N21" s="94"/>
      <c r="O21" s="94">
        <f>SUM(P21:Q21)</f>
        <v>0</v>
      </c>
      <c r="P21" s="94"/>
      <c r="Q21" s="75"/>
      <c r="R21" s="75">
        <f>SUM(R22:R29)</f>
        <v>2216305721.5</v>
      </c>
      <c r="S21" s="75">
        <f>SUM(S22:S29)</f>
        <v>2216305721.5</v>
      </c>
      <c r="T21" s="75"/>
      <c r="U21" s="75"/>
      <c r="V21" s="75"/>
      <c r="W21" s="75">
        <f>X21+Z21</f>
        <v>487996278.5</v>
      </c>
      <c r="X21" s="86">
        <f>K21-R21</f>
        <v>297502278.5</v>
      </c>
      <c r="Y21" s="86">
        <f t="shared" si="4"/>
        <v>0</v>
      </c>
      <c r="Z21" s="75">
        <f>M21</f>
        <v>190494000</v>
      </c>
      <c r="AA21" s="92"/>
      <c r="AB21" s="15">
        <f>494+43</f>
        <v>537</v>
      </c>
    </row>
    <row r="22" spans="1:28" s="11" customFormat="1" ht="18.75" customHeight="1" x14ac:dyDescent="0.25">
      <c r="A22" s="78"/>
      <c r="B22" s="78"/>
      <c r="C22" s="78"/>
      <c r="D22" s="78">
        <v>341</v>
      </c>
      <c r="E22" s="78">
        <v>6001</v>
      </c>
      <c r="F22" s="79" t="s">
        <v>216</v>
      </c>
      <c r="G22" s="79"/>
      <c r="H22" s="79"/>
      <c r="I22" s="80"/>
      <c r="J22" s="80"/>
      <c r="K22" s="90"/>
      <c r="L22" s="90"/>
      <c r="M22" s="90"/>
      <c r="N22" s="90"/>
      <c r="O22" s="90"/>
      <c r="P22" s="90"/>
      <c r="Q22" s="81"/>
      <c r="R22" s="139">
        <f>S22</f>
        <v>1289499095</v>
      </c>
      <c r="S22" s="81">
        <v>1289499095</v>
      </c>
      <c r="T22" s="81"/>
      <c r="U22" s="81"/>
      <c r="V22" s="81"/>
      <c r="W22" s="75">
        <f t="shared" si="3"/>
        <v>0</v>
      </c>
      <c r="X22" s="189"/>
      <c r="Y22" s="86">
        <f t="shared" si="4"/>
        <v>0</v>
      </c>
      <c r="Z22" s="81"/>
      <c r="AA22" s="91"/>
      <c r="AB22" s="14"/>
    </row>
    <row r="23" spans="1:28" s="11" customFormat="1" ht="15.75" customHeight="1" x14ac:dyDescent="0.25">
      <c r="A23" s="78"/>
      <c r="B23" s="78"/>
      <c r="C23" s="78"/>
      <c r="D23" s="78">
        <v>341</v>
      </c>
      <c r="E23" s="78">
        <v>6101</v>
      </c>
      <c r="F23" s="95" t="s">
        <v>217</v>
      </c>
      <c r="G23" s="95"/>
      <c r="H23" s="248"/>
      <c r="I23" s="80"/>
      <c r="J23" s="80"/>
      <c r="K23" s="90"/>
      <c r="L23" s="90"/>
      <c r="M23" s="90"/>
      <c r="N23" s="90"/>
      <c r="O23" s="90">
        <f>J7+O7</f>
        <v>38240411646</v>
      </c>
      <c r="P23" s="90"/>
      <c r="Q23" s="81"/>
      <c r="R23" s="81">
        <f>43836390+7261721+6247215+6754468</f>
        <v>64099794</v>
      </c>
      <c r="S23" s="81">
        <f t="shared" ref="S23:S29" si="5">R23</f>
        <v>64099794</v>
      </c>
      <c r="T23" s="81"/>
      <c r="U23" s="81"/>
      <c r="V23" s="81"/>
      <c r="W23" s="75">
        <f t="shared" si="3"/>
        <v>0</v>
      </c>
      <c r="X23" s="189"/>
      <c r="Y23" s="86">
        <f t="shared" si="4"/>
        <v>0</v>
      </c>
      <c r="Z23" s="81"/>
      <c r="AA23" s="91"/>
      <c r="AB23" s="14"/>
    </row>
    <row r="24" spans="1:28" s="11" customFormat="1" ht="15.75" customHeight="1" x14ac:dyDescent="0.25">
      <c r="A24" s="78"/>
      <c r="B24" s="78"/>
      <c r="C24" s="78"/>
      <c r="D24" s="78">
        <v>341</v>
      </c>
      <c r="E24" s="78">
        <v>6115</v>
      </c>
      <c r="F24" s="79" t="s">
        <v>223</v>
      </c>
      <c r="G24" s="79"/>
      <c r="H24" s="79"/>
      <c r="I24" s="80"/>
      <c r="J24" s="80"/>
      <c r="K24" s="90"/>
      <c r="L24" s="90"/>
      <c r="M24" s="90"/>
      <c r="N24" s="90"/>
      <c r="O24" s="90"/>
      <c r="P24" s="90"/>
      <c r="Q24" s="81"/>
      <c r="R24" s="81">
        <f>4013889+735526+632769+684147</f>
        <v>6066331</v>
      </c>
      <c r="S24" s="81">
        <f t="shared" si="5"/>
        <v>6066331</v>
      </c>
      <c r="T24" s="81"/>
      <c r="U24" s="81"/>
      <c r="V24" s="81"/>
      <c r="W24" s="75">
        <f t="shared" si="3"/>
        <v>0</v>
      </c>
      <c r="X24" s="189"/>
      <c r="Y24" s="86">
        <f t="shared" si="4"/>
        <v>0</v>
      </c>
      <c r="Z24" s="81"/>
      <c r="AA24" s="91"/>
      <c r="AB24" s="14"/>
    </row>
    <row r="25" spans="1:28" s="11" customFormat="1" ht="16.5" customHeight="1" x14ac:dyDescent="0.25">
      <c r="A25" s="78"/>
      <c r="B25" s="78"/>
      <c r="C25" s="78"/>
      <c r="D25" s="78">
        <v>341</v>
      </c>
      <c r="E25" s="78">
        <v>6124</v>
      </c>
      <c r="F25" s="79" t="s">
        <v>224</v>
      </c>
      <c r="G25" s="79"/>
      <c r="H25" s="79"/>
      <c r="I25" s="80"/>
      <c r="J25" s="80"/>
      <c r="K25" s="90"/>
      <c r="L25" s="90"/>
      <c r="M25" s="90"/>
      <c r="N25" s="90"/>
      <c r="O25" s="90"/>
      <c r="P25" s="90"/>
      <c r="Q25" s="81"/>
      <c r="R25" s="81">
        <f>S25</f>
        <v>375205950</v>
      </c>
      <c r="S25" s="81">
        <v>375205950</v>
      </c>
      <c r="T25" s="81"/>
      <c r="U25" s="81"/>
      <c r="V25" s="81"/>
      <c r="W25" s="75">
        <f t="shared" si="3"/>
        <v>0</v>
      </c>
      <c r="X25" s="189"/>
      <c r="Y25" s="86">
        <f t="shared" si="4"/>
        <v>0</v>
      </c>
      <c r="Z25" s="81"/>
      <c r="AA25" s="91"/>
      <c r="AB25" s="14"/>
    </row>
    <row r="26" spans="1:28" s="11" customFormat="1" ht="18" customHeight="1" x14ac:dyDescent="0.25">
      <c r="A26" s="78"/>
      <c r="B26" s="78"/>
      <c r="C26" s="78"/>
      <c r="D26" s="78">
        <v>341</v>
      </c>
      <c r="E26" s="78">
        <v>6113</v>
      </c>
      <c r="F26" s="79" t="s">
        <v>261</v>
      </c>
      <c r="G26" s="79"/>
      <c r="H26" s="79"/>
      <c r="I26" s="80"/>
      <c r="J26" s="80"/>
      <c r="K26" s="90"/>
      <c r="L26" s="90"/>
      <c r="M26" s="90"/>
      <c r="N26" s="90"/>
      <c r="O26" s="90"/>
      <c r="P26" s="90"/>
      <c r="Q26" s="81"/>
      <c r="R26" s="81">
        <f>272000+1638000+253000</f>
        <v>2163000</v>
      </c>
      <c r="S26" s="81">
        <f t="shared" si="5"/>
        <v>2163000</v>
      </c>
      <c r="T26" s="81"/>
      <c r="U26" s="81"/>
      <c r="V26" s="81"/>
      <c r="W26" s="75">
        <f t="shared" si="3"/>
        <v>0</v>
      </c>
      <c r="X26" s="189"/>
      <c r="Y26" s="86">
        <f t="shared" si="4"/>
        <v>0</v>
      </c>
      <c r="Z26" s="81"/>
      <c r="AA26" s="91"/>
      <c r="AB26" s="14"/>
    </row>
    <row r="27" spans="1:28" s="11" customFormat="1" ht="15.75" customHeight="1" x14ac:dyDescent="0.25">
      <c r="A27" s="78"/>
      <c r="B27" s="78"/>
      <c r="C27" s="78"/>
      <c r="D27" s="78">
        <v>341</v>
      </c>
      <c r="E27" s="78">
        <v>6301</v>
      </c>
      <c r="F27" s="79" t="s">
        <v>226</v>
      </c>
      <c r="G27" s="79"/>
      <c r="H27" s="79"/>
      <c r="I27" s="80"/>
      <c r="J27" s="80"/>
      <c r="K27" s="90"/>
      <c r="L27" s="90"/>
      <c r="M27" s="90"/>
      <c r="N27" s="90"/>
      <c r="O27" s="90"/>
      <c r="P27" s="90"/>
      <c r="Q27" s="81"/>
      <c r="R27" s="81">
        <f>346549772.5+90699786</f>
        <v>437249558.5</v>
      </c>
      <c r="S27" s="81">
        <f t="shared" si="5"/>
        <v>437249558.5</v>
      </c>
      <c r="T27" s="81"/>
      <c r="U27" s="81"/>
      <c r="V27" s="81"/>
      <c r="W27" s="75">
        <f t="shared" si="3"/>
        <v>0</v>
      </c>
      <c r="X27" s="189"/>
      <c r="Y27" s="86">
        <f t="shared" si="4"/>
        <v>0</v>
      </c>
      <c r="Z27" s="81"/>
      <c r="AA27" s="91"/>
      <c r="AB27" s="14"/>
    </row>
    <row r="28" spans="1:28" s="11" customFormat="1" ht="16.5" customHeight="1" x14ac:dyDescent="0.25">
      <c r="A28" s="78"/>
      <c r="B28" s="78"/>
      <c r="C28" s="78"/>
      <c r="D28" s="78">
        <v>341</v>
      </c>
      <c r="E28" s="78">
        <v>6302</v>
      </c>
      <c r="F28" s="79" t="s">
        <v>228</v>
      </c>
      <c r="G28" s="79"/>
      <c r="H28" s="79"/>
      <c r="I28" s="80"/>
      <c r="J28" s="80"/>
      <c r="K28" s="90"/>
      <c r="L28" s="90"/>
      <c r="M28" s="90"/>
      <c r="N28" s="90"/>
      <c r="O28" s="90"/>
      <c r="P28" s="90"/>
      <c r="Q28" s="81"/>
      <c r="R28" s="81">
        <f>21498292.5+16325968</f>
        <v>37824260.5</v>
      </c>
      <c r="S28" s="81">
        <f t="shared" si="5"/>
        <v>37824260.5</v>
      </c>
      <c r="T28" s="81"/>
      <c r="U28" s="81"/>
      <c r="V28" s="81"/>
      <c r="W28" s="75">
        <f t="shared" si="3"/>
        <v>0</v>
      </c>
      <c r="X28" s="189"/>
      <c r="Y28" s="86">
        <f t="shared" si="4"/>
        <v>0</v>
      </c>
      <c r="Z28" s="81"/>
      <c r="AA28" s="91"/>
      <c r="AB28" s="14"/>
    </row>
    <row r="29" spans="1:28" s="11" customFormat="1" ht="18" customHeight="1" x14ac:dyDescent="0.25">
      <c r="A29" s="78"/>
      <c r="B29" s="78"/>
      <c r="C29" s="78"/>
      <c r="D29" s="78">
        <v>341</v>
      </c>
      <c r="E29" s="78">
        <v>6349</v>
      </c>
      <c r="F29" s="79" t="s">
        <v>230</v>
      </c>
      <c r="G29" s="79"/>
      <c r="H29" s="79"/>
      <c r="I29" s="80"/>
      <c r="J29" s="80"/>
      <c r="K29" s="90"/>
      <c r="L29" s="90"/>
      <c r="M29" s="90"/>
      <c r="N29" s="90"/>
      <c r="O29" s="90"/>
      <c r="P29" s="90"/>
      <c r="Q29" s="81"/>
      <c r="R29" s="81">
        <f>2383730.5+1814002</f>
        <v>4197732.5</v>
      </c>
      <c r="S29" s="81">
        <f t="shared" si="5"/>
        <v>4197732.5</v>
      </c>
      <c r="T29" s="81"/>
      <c r="U29" s="81"/>
      <c r="V29" s="81"/>
      <c r="W29" s="75">
        <f t="shared" si="3"/>
        <v>0</v>
      </c>
      <c r="X29" s="189"/>
      <c r="Y29" s="86">
        <f t="shared" si="4"/>
        <v>0</v>
      </c>
      <c r="Z29" s="81"/>
      <c r="AA29" s="91"/>
      <c r="AB29" s="14"/>
    </row>
    <row r="30" spans="1:28" s="16" customFormat="1" ht="18.75" customHeight="1" x14ac:dyDescent="0.25">
      <c r="A30" s="231"/>
      <c r="B30" s="231"/>
      <c r="C30" s="231"/>
      <c r="D30" s="231">
        <v>341</v>
      </c>
      <c r="E30" s="231"/>
      <c r="F30" s="85" t="s">
        <v>5</v>
      </c>
      <c r="G30" s="85"/>
      <c r="H30" s="85"/>
      <c r="I30" s="77">
        <f>J30+O30</f>
        <v>612000000</v>
      </c>
      <c r="J30" s="77">
        <f>SUM(K30:N30)</f>
        <v>612000000</v>
      </c>
      <c r="K30" s="94">
        <f>612000000-N30</f>
        <v>516100000</v>
      </c>
      <c r="L30" s="94"/>
      <c r="M30" s="94"/>
      <c r="N30" s="94">
        <f>61200000+34700000</f>
        <v>95900000</v>
      </c>
      <c r="O30" s="94">
        <f>SUM(P30:Q30)</f>
        <v>0</v>
      </c>
      <c r="P30" s="94"/>
      <c r="Q30" s="75"/>
      <c r="R30" s="75">
        <f>SUM(R31:R39)</f>
        <v>273501271</v>
      </c>
      <c r="S30" s="75">
        <f>SUM(S31:S39)</f>
        <v>273501271</v>
      </c>
      <c r="T30" s="75"/>
      <c r="U30" s="75"/>
      <c r="V30" s="75"/>
      <c r="W30" s="75">
        <f>X30+AA30</f>
        <v>338498729</v>
      </c>
      <c r="X30" s="86">
        <f>K30-R30</f>
        <v>242598729</v>
      </c>
      <c r="Y30" s="86">
        <f t="shared" si="4"/>
        <v>0</v>
      </c>
      <c r="Z30" s="231"/>
      <c r="AA30" s="75">
        <f>N30</f>
        <v>95900000</v>
      </c>
      <c r="AB30" s="15"/>
    </row>
    <row r="31" spans="1:28" s="11" customFormat="1" ht="17.25" customHeight="1" x14ac:dyDescent="0.25">
      <c r="A31" s="78"/>
      <c r="B31" s="78"/>
      <c r="C31" s="78"/>
      <c r="D31" s="78">
        <v>341</v>
      </c>
      <c r="E31" s="78">
        <v>6105</v>
      </c>
      <c r="F31" s="79" t="s">
        <v>221</v>
      </c>
      <c r="G31" s="79"/>
      <c r="H31" s="79"/>
      <c r="I31" s="80"/>
      <c r="J31" s="80"/>
      <c r="K31" s="90"/>
      <c r="L31" s="90"/>
      <c r="M31" s="90"/>
      <c r="N31" s="90"/>
      <c r="O31" s="90"/>
      <c r="P31" s="90"/>
      <c r="Q31" s="81"/>
      <c r="R31" s="81">
        <f>17585011+8840813</f>
        <v>26425824</v>
      </c>
      <c r="S31" s="83">
        <f>R31</f>
        <v>26425824</v>
      </c>
      <c r="T31" s="81"/>
      <c r="U31" s="81"/>
      <c r="V31" s="81"/>
      <c r="W31" s="75">
        <f t="shared" si="3"/>
        <v>0</v>
      </c>
      <c r="X31" s="91"/>
      <c r="Y31" s="86">
        <f t="shared" si="4"/>
        <v>0</v>
      </c>
      <c r="Z31" s="78"/>
      <c r="AA31" s="81"/>
      <c r="AB31" s="14"/>
    </row>
    <row r="32" spans="1:28" s="11" customFormat="1" ht="17.25" customHeight="1" x14ac:dyDescent="0.25">
      <c r="A32" s="78"/>
      <c r="B32" s="78"/>
      <c r="C32" s="78"/>
      <c r="D32" s="78">
        <v>341</v>
      </c>
      <c r="E32" s="78">
        <v>6299</v>
      </c>
      <c r="F32" s="79" t="s">
        <v>225</v>
      </c>
      <c r="G32" s="79"/>
      <c r="H32" s="79"/>
      <c r="I32" s="80"/>
      <c r="J32" s="80"/>
      <c r="K32" s="90"/>
      <c r="L32" s="90"/>
      <c r="M32" s="90"/>
      <c r="N32" s="90"/>
      <c r="O32" s="90"/>
      <c r="P32" s="90"/>
      <c r="Q32" s="81"/>
      <c r="R32" s="81">
        <f>18000000+8500000</f>
        <v>26500000</v>
      </c>
      <c r="S32" s="83">
        <f>R32</f>
        <v>26500000</v>
      </c>
      <c r="T32" s="81"/>
      <c r="U32" s="81"/>
      <c r="V32" s="81"/>
      <c r="W32" s="75">
        <f t="shared" si="3"/>
        <v>0</v>
      </c>
      <c r="X32" s="91"/>
      <c r="Y32" s="86">
        <f t="shared" si="4"/>
        <v>0</v>
      </c>
      <c r="Z32" s="78"/>
      <c r="AA32" s="81"/>
      <c r="AB32" s="14"/>
    </row>
    <row r="33" spans="1:28" s="11" customFormat="1" ht="17.25" customHeight="1" x14ac:dyDescent="0.25">
      <c r="A33" s="78"/>
      <c r="B33" s="78"/>
      <c r="C33" s="78"/>
      <c r="D33" s="78">
        <v>341</v>
      </c>
      <c r="E33" s="78">
        <v>6551</v>
      </c>
      <c r="F33" s="79" t="s">
        <v>234</v>
      </c>
      <c r="G33" s="79"/>
      <c r="H33" s="79"/>
      <c r="I33" s="80"/>
      <c r="J33" s="80"/>
      <c r="K33" s="90"/>
      <c r="L33" s="90"/>
      <c r="M33" s="90"/>
      <c r="N33" s="90"/>
      <c r="O33" s="90"/>
      <c r="P33" s="90"/>
      <c r="Q33" s="81"/>
      <c r="R33" s="81">
        <f>48781242+1404000+2592000</f>
        <v>52777242</v>
      </c>
      <c r="S33" s="83">
        <f>R33</f>
        <v>52777242</v>
      </c>
      <c r="T33" s="81"/>
      <c r="U33" s="81"/>
      <c r="V33" s="81"/>
      <c r="W33" s="75">
        <f t="shared" si="3"/>
        <v>0</v>
      </c>
      <c r="X33" s="91"/>
      <c r="Y33" s="86">
        <f t="shared" si="4"/>
        <v>0</v>
      </c>
      <c r="Z33" s="78"/>
      <c r="AA33" s="81"/>
      <c r="AB33" s="14"/>
    </row>
    <row r="34" spans="1:28" s="11" customFormat="1" ht="17.25" customHeight="1" x14ac:dyDescent="0.25">
      <c r="A34" s="78"/>
      <c r="B34" s="78"/>
      <c r="C34" s="78"/>
      <c r="D34" s="78">
        <v>341</v>
      </c>
      <c r="E34" s="78">
        <v>6704</v>
      </c>
      <c r="F34" s="79" t="s">
        <v>236</v>
      </c>
      <c r="G34" s="79"/>
      <c r="H34" s="79"/>
      <c r="I34" s="80"/>
      <c r="J34" s="80"/>
      <c r="K34" s="90"/>
      <c r="L34" s="90"/>
      <c r="M34" s="90"/>
      <c r="N34" s="90"/>
      <c r="O34" s="90"/>
      <c r="P34" s="90"/>
      <c r="Q34" s="81"/>
      <c r="R34" s="81">
        <f>42300000+7400000+7400000+7050000</f>
        <v>64150000</v>
      </c>
      <c r="S34" s="83">
        <f>R34</f>
        <v>64150000</v>
      </c>
      <c r="T34" s="81"/>
      <c r="U34" s="81"/>
      <c r="V34" s="81"/>
      <c r="W34" s="75">
        <f t="shared" si="3"/>
        <v>0</v>
      </c>
      <c r="X34" s="91"/>
      <c r="Y34" s="86">
        <f t="shared" si="4"/>
        <v>0</v>
      </c>
      <c r="Z34" s="78"/>
      <c r="AA34" s="81"/>
      <c r="AB34" s="14"/>
    </row>
    <row r="35" spans="1:28" s="11" customFormat="1" ht="22.5" customHeight="1" x14ac:dyDescent="0.25">
      <c r="A35" s="78"/>
      <c r="B35" s="78"/>
      <c r="C35" s="78"/>
      <c r="D35" s="78">
        <v>341</v>
      </c>
      <c r="E35" s="78">
        <v>6912</v>
      </c>
      <c r="F35" s="79" t="s">
        <v>239</v>
      </c>
      <c r="G35" s="79"/>
      <c r="H35" s="79"/>
      <c r="I35" s="80"/>
      <c r="J35" s="80"/>
      <c r="K35" s="90"/>
      <c r="L35" s="90"/>
      <c r="M35" s="90"/>
      <c r="N35" s="90"/>
      <c r="O35" s="90"/>
      <c r="P35" s="90"/>
      <c r="Q35" s="81"/>
      <c r="R35" s="81">
        <v>17350230</v>
      </c>
      <c r="S35" s="83">
        <v>17350230</v>
      </c>
      <c r="T35" s="81"/>
      <c r="U35" s="81"/>
      <c r="V35" s="81"/>
      <c r="W35" s="75">
        <f t="shared" si="3"/>
        <v>0</v>
      </c>
      <c r="X35" s="91"/>
      <c r="Y35" s="86">
        <f t="shared" si="4"/>
        <v>0</v>
      </c>
      <c r="Z35" s="78"/>
      <c r="AA35" s="81"/>
      <c r="AB35" s="216">
        <f>L40-T40</f>
        <v>318216975</v>
      </c>
    </row>
    <row r="36" spans="1:28" s="11" customFormat="1" ht="18" customHeight="1" x14ac:dyDescent="0.25">
      <c r="A36" s="78"/>
      <c r="B36" s="78"/>
      <c r="C36" s="78"/>
      <c r="D36" s="78">
        <v>341</v>
      </c>
      <c r="E36" s="78">
        <v>6913</v>
      </c>
      <c r="F36" s="79" t="s">
        <v>240</v>
      </c>
      <c r="G36" s="79"/>
      <c r="H36" s="79"/>
      <c r="I36" s="80"/>
      <c r="J36" s="80"/>
      <c r="K36" s="90"/>
      <c r="L36" s="90"/>
      <c r="M36" s="90"/>
      <c r="N36" s="90"/>
      <c r="O36" s="90"/>
      <c r="P36" s="90"/>
      <c r="Q36" s="81"/>
      <c r="R36" s="81">
        <v>14940000</v>
      </c>
      <c r="S36" s="83">
        <f>R36</f>
        <v>14940000</v>
      </c>
      <c r="T36" s="81"/>
      <c r="U36" s="81"/>
      <c r="V36" s="81"/>
      <c r="W36" s="75">
        <f t="shared" si="3"/>
        <v>0</v>
      </c>
      <c r="X36" s="91"/>
      <c r="Y36" s="86">
        <f t="shared" si="4"/>
        <v>0</v>
      </c>
      <c r="Z36" s="78"/>
      <c r="AA36" s="81"/>
      <c r="AB36" s="14"/>
    </row>
    <row r="37" spans="1:28" s="11" customFormat="1" ht="20.25" customHeight="1" x14ac:dyDescent="0.25">
      <c r="A37" s="78"/>
      <c r="B37" s="78"/>
      <c r="C37" s="78"/>
      <c r="D37" s="78">
        <v>341</v>
      </c>
      <c r="E37" s="78">
        <v>7799</v>
      </c>
      <c r="F37" s="79" t="s">
        <v>243</v>
      </c>
      <c r="G37" s="79"/>
      <c r="H37" s="79"/>
      <c r="I37" s="80"/>
      <c r="J37" s="80"/>
      <c r="K37" s="90"/>
      <c r="L37" s="90"/>
      <c r="M37" s="90"/>
      <c r="N37" s="90"/>
      <c r="O37" s="90"/>
      <c r="P37" s="90"/>
      <c r="Q37" s="81"/>
      <c r="R37" s="81">
        <v>51308675</v>
      </c>
      <c r="S37" s="83">
        <f>R37</f>
        <v>51308675</v>
      </c>
      <c r="T37" s="81"/>
      <c r="U37" s="81"/>
      <c r="V37" s="81"/>
      <c r="W37" s="75">
        <f t="shared" si="3"/>
        <v>0</v>
      </c>
      <c r="X37" s="91"/>
      <c r="Y37" s="86">
        <f t="shared" si="4"/>
        <v>0</v>
      </c>
      <c r="Z37" s="78"/>
      <c r="AA37" s="81"/>
      <c r="AB37" s="216">
        <f>L40-R40</f>
        <v>318216975</v>
      </c>
    </row>
    <row r="38" spans="1:28" s="11" customFormat="1" ht="20.25" customHeight="1" x14ac:dyDescent="0.25">
      <c r="A38" s="78"/>
      <c r="B38" s="78"/>
      <c r="C38" s="78"/>
      <c r="D38" s="78">
        <v>341</v>
      </c>
      <c r="E38" s="78">
        <v>6599</v>
      </c>
      <c r="F38" s="79" t="s">
        <v>287</v>
      </c>
      <c r="G38" s="79"/>
      <c r="H38" s="79"/>
      <c r="I38" s="80"/>
      <c r="J38" s="80"/>
      <c r="K38" s="90"/>
      <c r="L38" s="90"/>
      <c r="M38" s="90"/>
      <c r="N38" s="90"/>
      <c r="O38" s="90"/>
      <c r="P38" s="90"/>
      <c r="Q38" s="81"/>
      <c r="R38" s="81">
        <v>17814300</v>
      </c>
      <c r="S38" s="83">
        <f>R38</f>
        <v>17814300</v>
      </c>
      <c r="T38" s="81"/>
      <c r="U38" s="81"/>
      <c r="V38" s="81"/>
      <c r="W38" s="75">
        <f t="shared" si="3"/>
        <v>0</v>
      </c>
      <c r="X38" s="91"/>
      <c r="Y38" s="86">
        <f t="shared" si="4"/>
        <v>0</v>
      </c>
      <c r="Z38" s="78"/>
      <c r="AA38" s="81"/>
      <c r="AB38" s="216">
        <f>AB37-Y40</f>
        <v>0</v>
      </c>
    </row>
    <row r="39" spans="1:28" s="11" customFormat="1" ht="18.75" customHeight="1" x14ac:dyDescent="0.25">
      <c r="A39" s="78"/>
      <c r="B39" s="78"/>
      <c r="C39" s="78"/>
      <c r="D39" s="78">
        <v>341</v>
      </c>
      <c r="E39" s="78">
        <v>7001</v>
      </c>
      <c r="F39" s="79" t="s">
        <v>264</v>
      </c>
      <c r="G39" s="79"/>
      <c r="H39" s="79"/>
      <c r="I39" s="80"/>
      <c r="J39" s="80"/>
      <c r="K39" s="90"/>
      <c r="L39" s="90"/>
      <c r="M39" s="90"/>
      <c r="N39" s="90"/>
      <c r="O39" s="90"/>
      <c r="P39" s="90"/>
      <c r="Q39" s="81"/>
      <c r="R39" s="81">
        <v>2235000</v>
      </c>
      <c r="S39" s="83">
        <f>R39</f>
        <v>2235000</v>
      </c>
      <c r="T39" s="81"/>
      <c r="U39" s="81"/>
      <c r="V39" s="81"/>
      <c r="W39" s="75">
        <f t="shared" si="3"/>
        <v>0</v>
      </c>
      <c r="X39" s="91"/>
      <c r="Y39" s="86">
        <f t="shared" si="4"/>
        <v>0</v>
      </c>
      <c r="Z39" s="78"/>
      <c r="AA39" s="81"/>
      <c r="AB39" s="14"/>
    </row>
    <row r="40" spans="1:28" s="16" customFormat="1" ht="17.25" customHeight="1" x14ac:dyDescent="0.25">
      <c r="A40" s="231"/>
      <c r="B40" s="231"/>
      <c r="C40" s="231"/>
      <c r="D40" s="231">
        <v>341</v>
      </c>
      <c r="E40" s="231"/>
      <c r="F40" s="85" t="s">
        <v>48</v>
      </c>
      <c r="G40" s="85"/>
      <c r="H40" s="85"/>
      <c r="I40" s="77">
        <f>SUM(I41:I67)</f>
        <v>1057000000</v>
      </c>
      <c r="J40" s="77">
        <f t="shared" ref="J40:Q40" si="6">SUM(J41:J67)</f>
        <v>1057000000</v>
      </c>
      <c r="K40" s="77">
        <f t="shared" si="6"/>
        <v>0</v>
      </c>
      <c r="L40" s="77">
        <f>SUM(L41:L67)</f>
        <v>886000000</v>
      </c>
      <c r="M40" s="77">
        <f t="shared" si="6"/>
        <v>0</v>
      </c>
      <c r="N40" s="77">
        <f>SUM(N41:N67)</f>
        <v>171000000</v>
      </c>
      <c r="O40" s="77">
        <f t="shared" si="6"/>
        <v>0</v>
      </c>
      <c r="P40" s="77">
        <f t="shared" si="6"/>
        <v>0</v>
      </c>
      <c r="Q40" s="77">
        <f t="shared" si="6"/>
        <v>0</v>
      </c>
      <c r="R40" s="77">
        <f>R41+R46+R48+R50+R58+R65</f>
        <v>567783025</v>
      </c>
      <c r="S40" s="77">
        <f>S41+S46+S48+S50+S58</f>
        <v>0</v>
      </c>
      <c r="T40" s="77">
        <f>T41+T46+T48+T50+T58+T65</f>
        <v>567783025</v>
      </c>
      <c r="U40" s="77">
        <f>U41+U46+U48+U50+U58+U65</f>
        <v>0</v>
      </c>
      <c r="V40" s="77">
        <f>V41+V46+V48+V50+V58+V65</f>
        <v>0</v>
      </c>
      <c r="W40" s="77">
        <f>W41+W46+W48+W50+W56+W57+W58+W64+W65+W67</f>
        <v>489216975</v>
      </c>
      <c r="X40" s="77">
        <f>X41+X46+X48+X50+X56+X57+X58+X64+X65+X67</f>
        <v>0</v>
      </c>
      <c r="Y40" s="86">
        <f>Y41+Y46+Y48+Y50+Y56+Y57+Y58+Y65+Y67+Y64</f>
        <v>318216975</v>
      </c>
      <c r="Z40" s="77">
        <f>Z41+Z46+Z48+Z50+Z56+Z57+Z58+Z64+Z65+Z67</f>
        <v>0</v>
      </c>
      <c r="AA40" s="77">
        <f>AA41+AA46+AA48+AA50+AA56+AA57+AA58+AA64+AA65+AA67</f>
        <v>171000000</v>
      </c>
      <c r="AB40" s="15"/>
    </row>
    <row r="41" spans="1:28" s="16" customFormat="1" ht="33" customHeight="1" x14ac:dyDescent="0.25">
      <c r="A41" s="231"/>
      <c r="B41" s="231"/>
      <c r="C41" s="231"/>
      <c r="D41" s="231">
        <v>341</v>
      </c>
      <c r="E41" s="231"/>
      <c r="F41" s="85" t="s">
        <v>89</v>
      </c>
      <c r="G41" s="85"/>
      <c r="H41" s="85"/>
      <c r="I41" s="77">
        <f>J41+O41</f>
        <v>150000000</v>
      </c>
      <c r="J41" s="77">
        <f>SUM(K41:N41)</f>
        <v>150000000</v>
      </c>
      <c r="K41" s="94"/>
      <c r="L41" s="94">
        <f>150000*1000-N41</f>
        <v>125400000</v>
      </c>
      <c r="M41" s="94"/>
      <c r="N41" s="94">
        <f>15000000+9600000</f>
        <v>24600000</v>
      </c>
      <c r="O41" s="94">
        <f>SUM(P41:Q41)</f>
        <v>0</v>
      </c>
      <c r="P41" s="94"/>
      <c r="Q41" s="75"/>
      <c r="R41" s="75">
        <f>SUM(R42:R45)</f>
        <v>98624055</v>
      </c>
      <c r="S41" s="75">
        <f>SUM(S42:S45)</f>
        <v>0</v>
      </c>
      <c r="T41" s="75">
        <f>SUM(T42:T45)</f>
        <v>98624055</v>
      </c>
      <c r="U41" s="75"/>
      <c r="V41" s="75"/>
      <c r="W41" s="75">
        <f>Y41+AA41</f>
        <v>51375945</v>
      </c>
      <c r="X41" s="231"/>
      <c r="Y41" s="86">
        <f>L41-R41</f>
        <v>26775945</v>
      </c>
      <c r="Z41" s="231"/>
      <c r="AA41" s="75">
        <f>N41</f>
        <v>24600000</v>
      </c>
      <c r="AB41" s="15"/>
    </row>
    <row r="42" spans="1:28" s="11" customFormat="1" ht="19.5" customHeight="1" x14ac:dyDescent="0.25">
      <c r="A42" s="78"/>
      <c r="B42" s="78"/>
      <c r="C42" s="78"/>
      <c r="D42" s="78">
        <v>341</v>
      </c>
      <c r="E42" s="78">
        <v>6503</v>
      </c>
      <c r="F42" s="79" t="s">
        <v>147</v>
      </c>
      <c r="G42" s="79"/>
      <c r="H42" s="79"/>
      <c r="I42" s="80"/>
      <c r="J42" s="80"/>
      <c r="K42" s="90"/>
      <c r="L42" s="90"/>
      <c r="M42" s="90"/>
      <c r="N42" s="90"/>
      <c r="O42" s="90"/>
      <c r="P42" s="90"/>
      <c r="Q42" s="81"/>
      <c r="R42" s="81">
        <f>T42</f>
        <v>19561400</v>
      </c>
      <c r="S42" s="93"/>
      <c r="T42" s="81">
        <v>19561400</v>
      </c>
      <c r="U42" s="81"/>
      <c r="V42" s="81"/>
      <c r="W42" s="75">
        <f>Y42</f>
        <v>0</v>
      </c>
      <c r="X42" s="78"/>
      <c r="Y42" s="86">
        <f>L164</f>
        <v>0</v>
      </c>
      <c r="Z42" s="78"/>
      <c r="AA42" s="81"/>
      <c r="AB42" s="14"/>
    </row>
    <row r="43" spans="1:28" s="11" customFormat="1" ht="18.75" customHeight="1" x14ac:dyDescent="0.25">
      <c r="A43" s="78"/>
      <c r="B43" s="78"/>
      <c r="C43" s="78"/>
      <c r="D43" s="78">
        <v>341</v>
      </c>
      <c r="E43" s="78">
        <v>6757</v>
      </c>
      <c r="F43" s="79" t="s">
        <v>169</v>
      </c>
      <c r="G43" s="79"/>
      <c r="H43" s="79"/>
      <c r="I43" s="80"/>
      <c r="J43" s="80"/>
      <c r="K43" s="90"/>
      <c r="L43" s="90"/>
      <c r="M43" s="90"/>
      <c r="N43" s="90"/>
      <c r="O43" s="90"/>
      <c r="P43" s="90"/>
      <c r="Q43" s="81"/>
      <c r="R43" s="81">
        <f>40000000+7000000+7000000</f>
        <v>54000000</v>
      </c>
      <c r="S43" s="93"/>
      <c r="T43" s="81">
        <f t="shared" ref="T43:T48" si="7">R43</f>
        <v>54000000</v>
      </c>
      <c r="U43" s="81"/>
      <c r="V43" s="81"/>
      <c r="W43" s="75">
        <f>Y43</f>
        <v>0</v>
      </c>
      <c r="X43" s="78"/>
      <c r="Y43" s="86">
        <f>L165</f>
        <v>0</v>
      </c>
      <c r="Z43" s="78"/>
      <c r="AA43" s="81"/>
      <c r="AB43" s="14"/>
    </row>
    <row r="44" spans="1:28" s="11" customFormat="1" ht="23.25" customHeight="1" x14ac:dyDescent="0.25">
      <c r="A44" s="78"/>
      <c r="B44" s="78"/>
      <c r="C44" s="78"/>
      <c r="D44" s="78">
        <v>341</v>
      </c>
      <c r="E44" s="78">
        <v>6901</v>
      </c>
      <c r="F44" s="79" t="s">
        <v>172</v>
      </c>
      <c r="G44" s="79"/>
      <c r="H44" s="79"/>
      <c r="I44" s="80"/>
      <c r="J44" s="80"/>
      <c r="K44" s="90"/>
      <c r="L44" s="90"/>
      <c r="M44" s="90"/>
      <c r="N44" s="90"/>
      <c r="O44" s="90"/>
      <c r="P44" s="90"/>
      <c r="Q44" s="81"/>
      <c r="R44" s="81">
        <v>24019200</v>
      </c>
      <c r="S44" s="93"/>
      <c r="T44" s="81">
        <f t="shared" si="7"/>
        <v>24019200</v>
      </c>
      <c r="U44" s="81"/>
      <c r="V44" s="81"/>
      <c r="W44" s="75">
        <f>Y44</f>
        <v>0</v>
      </c>
      <c r="X44" s="78"/>
      <c r="Y44" s="86">
        <f>L166</f>
        <v>0</v>
      </c>
      <c r="Z44" s="78"/>
      <c r="AA44" s="81"/>
      <c r="AB44" s="14"/>
    </row>
    <row r="45" spans="1:28" s="11" customFormat="1" ht="18" customHeight="1" x14ac:dyDescent="0.25">
      <c r="A45" s="78"/>
      <c r="B45" s="78"/>
      <c r="C45" s="78"/>
      <c r="D45" s="78">
        <v>341</v>
      </c>
      <c r="E45" s="78">
        <v>7756</v>
      </c>
      <c r="F45" s="79" t="s">
        <v>180</v>
      </c>
      <c r="G45" s="79"/>
      <c r="H45" s="79"/>
      <c r="I45" s="80"/>
      <c r="J45" s="80"/>
      <c r="K45" s="90"/>
      <c r="L45" s="90"/>
      <c r="M45" s="90"/>
      <c r="N45" s="90"/>
      <c r="O45" s="90"/>
      <c r="P45" s="90"/>
      <c r="Q45" s="81"/>
      <c r="R45" s="81">
        <v>1043455</v>
      </c>
      <c r="S45" s="93"/>
      <c r="T45" s="81">
        <f t="shared" si="7"/>
        <v>1043455</v>
      </c>
      <c r="U45" s="81"/>
      <c r="V45" s="81"/>
      <c r="W45" s="75">
        <f>Y45</f>
        <v>0</v>
      </c>
      <c r="X45" s="78"/>
      <c r="Y45" s="86">
        <f>L167</f>
        <v>0</v>
      </c>
      <c r="Z45" s="78"/>
      <c r="AA45" s="81"/>
      <c r="AB45" s="14"/>
    </row>
    <row r="46" spans="1:28" s="18" customFormat="1" ht="25.5" customHeight="1" x14ac:dyDescent="0.25">
      <c r="A46" s="231"/>
      <c r="B46" s="231"/>
      <c r="C46" s="231"/>
      <c r="D46" s="231">
        <v>341</v>
      </c>
      <c r="E46" s="231"/>
      <c r="F46" s="85" t="s">
        <v>90</v>
      </c>
      <c r="G46" s="85"/>
      <c r="H46" s="85"/>
      <c r="I46" s="77">
        <f>J46+O46</f>
        <v>535000000</v>
      </c>
      <c r="J46" s="77">
        <f>SUM(K46:N46)</f>
        <v>535000000</v>
      </c>
      <c r="K46" s="94"/>
      <c r="L46" s="94">
        <f>535000*1000-N46</f>
        <v>449900000</v>
      </c>
      <c r="M46" s="94"/>
      <c r="N46" s="94">
        <f>53500000+31600000</f>
        <v>85100000</v>
      </c>
      <c r="O46" s="94">
        <f>SUM(P46:Q46)</f>
        <v>0</v>
      </c>
      <c r="P46" s="94"/>
      <c r="Q46" s="75"/>
      <c r="R46" s="75">
        <f>R47</f>
        <v>273280000</v>
      </c>
      <c r="S46" s="185"/>
      <c r="T46" s="75">
        <f>T47</f>
        <v>273280000</v>
      </c>
      <c r="U46" s="110"/>
      <c r="V46" s="110"/>
      <c r="W46" s="75">
        <f>Y46+AA46</f>
        <v>261720000</v>
      </c>
      <c r="X46" s="231"/>
      <c r="Y46" s="86">
        <f>L46-R46</f>
        <v>176620000</v>
      </c>
      <c r="Z46" s="231"/>
      <c r="AA46" s="75">
        <f>N46</f>
        <v>85100000</v>
      </c>
      <c r="AB46" s="17"/>
    </row>
    <row r="47" spans="1:28" s="13" customFormat="1" ht="23.25" customHeight="1" x14ac:dyDescent="0.25">
      <c r="A47" s="78"/>
      <c r="B47" s="78"/>
      <c r="C47" s="78"/>
      <c r="D47" s="78">
        <v>341</v>
      </c>
      <c r="E47" s="78">
        <v>6757</v>
      </c>
      <c r="F47" s="79" t="s">
        <v>168</v>
      </c>
      <c r="G47" s="79"/>
      <c r="H47" s="79"/>
      <c r="I47" s="80"/>
      <c r="J47" s="80"/>
      <c r="K47" s="90"/>
      <c r="L47" s="90"/>
      <c r="M47" s="90"/>
      <c r="N47" s="90"/>
      <c r="O47" s="90"/>
      <c r="P47" s="90"/>
      <c r="Q47" s="81"/>
      <c r="R47" s="81">
        <f>192000000+25920000+5500000+5500000+5000000+5200000+5000000+5200000+5500000+5500000+12960000</f>
        <v>273280000</v>
      </c>
      <c r="S47" s="93"/>
      <c r="T47" s="81">
        <f>R47</f>
        <v>273280000</v>
      </c>
      <c r="U47" s="111"/>
      <c r="V47" s="111"/>
      <c r="W47" s="75">
        <f>Y47</f>
        <v>0</v>
      </c>
      <c r="X47" s="78"/>
      <c r="Y47" s="86">
        <f>L169</f>
        <v>0</v>
      </c>
      <c r="Z47" s="78"/>
      <c r="AA47" s="81"/>
      <c r="AB47" s="12"/>
    </row>
    <row r="48" spans="1:28" s="18" customFormat="1" ht="13.5" customHeight="1" x14ac:dyDescent="0.25">
      <c r="A48" s="231"/>
      <c r="B48" s="231"/>
      <c r="C48" s="231"/>
      <c r="D48" s="231">
        <v>341</v>
      </c>
      <c r="E48" s="231"/>
      <c r="F48" s="85" t="s">
        <v>91</v>
      </c>
      <c r="G48" s="85"/>
      <c r="H48" s="85"/>
      <c r="I48" s="77">
        <f>J48+O48</f>
        <v>100000000</v>
      </c>
      <c r="J48" s="77">
        <f>SUM(K48:N48)</f>
        <v>100000000</v>
      </c>
      <c r="K48" s="94"/>
      <c r="L48" s="94">
        <f>100000*1000-N48</f>
        <v>89000000</v>
      </c>
      <c r="M48" s="94"/>
      <c r="N48" s="94">
        <f>10000000+1000000</f>
        <v>11000000</v>
      </c>
      <c r="O48" s="94">
        <f>SUM(P48:Q48)</f>
        <v>0</v>
      </c>
      <c r="P48" s="94"/>
      <c r="Q48" s="75"/>
      <c r="R48" s="140">
        <v>79396000</v>
      </c>
      <c r="S48" s="185"/>
      <c r="T48" s="75">
        <f t="shared" si="7"/>
        <v>79396000</v>
      </c>
      <c r="U48" s="110"/>
      <c r="V48" s="110"/>
      <c r="W48" s="75">
        <f>Y48+AA48</f>
        <v>20604000</v>
      </c>
      <c r="X48" s="231"/>
      <c r="Y48" s="86">
        <f>L48-R48</f>
        <v>9604000</v>
      </c>
      <c r="Z48" s="231"/>
      <c r="AA48" s="75">
        <f>N48</f>
        <v>11000000</v>
      </c>
      <c r="AB48" s="17"/>
    </row>
    <row r="49" spans="1:28" s="13" customFormat="1" ht="18.75" customHeight="1" x14ac:dyDescent="0.25">
      <c r="A49" s="78"/>
      <c r="B49" s="78"/>
      <c r="C49" s="78"/>
      <c r="D49" s="78">
        <v>341</v>
      </c>
      <c r="E49" s="78">
        <v>6605</v>
      </c>
      <c r="F49" s="79" t="s">
        <v>152</v>
      </c>
      <c r="G49" s="79"/>
      <c r="H49" s="79"/>
      <c r="I49" s="80"/>
      <c r="J49" s="80"/>
      <c r="K49" s="90"/>
      <c r="L49" s="90"/>
      <c r="M49" s="90"/>
      <c r="N49" s="90"/>
      <c r="O49" s="90"/>
      <c r="P49" s="90"/>
      <c r="Q49" s="81"/>
      <c r="R49" s="141">
        <f>R48</f>
        <v>79396000</v>
      </c>
      <c r="S49" s="93"/>
      <c r="T49" s="81">
        <f>T48</f>
        <v>79396000</v>
      </c>
      <c r="U49" s="111"/>
      <c r="V49" s="111"/>
      <c r="W49" s="75">
        <f>Y49</f>
        <v>0</v>
      </c>
      <c r="X49" s="78"/>
      <c r="Y49" s="86">
        <f>L171</f>
        <v>0</v>
      </c>
      <c r="Z49" s="78"/>
      <c r="AA49" s="81"/>
      <c r="AB49" s="12"/>
    </row>
    <row r="50" spans="1:28" s="16" customFormat="1" ht="24.75" customHeight="1" x14ac:dyDescent="0.25">
      <c r="A50" s="231"/>
      <c r="B50" s="231"/>
      <c r="C50" s="231"/>
      <c r="D50" s="231">
        <v>341</v>
      </c>
      <c r="E50" s="231"/>
      <c r="F50" s="85" t="s">
        <v>92</v>
      </c>
      <c r="G50" s="85"/>
      <c r="H50" s="85"/>
      <c r="I50" s="77">
        <f>J50+O50</f>
        <v>120000000</v>
      </c>
      <c r="J50" s="77">
        <f>SUM(K50:N50)</f>
        <v>120000000</v>
      </c>
      <c r="K50" s="94"/>
      <c r="L50" s="94">
        <f>120000*1000-N50</f>
        <v>97200000</v>
      </c>
      <c r="M50" s="94"/>
      <c r="N50" s="94">
        <f>12000000+10800000</f>
        <v>22800000</v>
      </c>
      <c r="O50" s="94">
        <f>SUM(P50:Q50)</f>
        <v>0</v>
      </c>
      <c r="P50" s="94"/>
      <c r="Q50" s="75"/>
      <c r="R50" s="75">
        <f>SUBTOTAL(9,R51:R55)</f>
        <v>80934170</v>
      </c>
      <c r="S50" s="75">
        <f>SUBTOTAL(9,S51:S55)</f>
        <v>0</v>
      </c>
      <c r="T50" s="75">
        <f>SUBTOTAL(9,T51:T55)</f>
        <v>80934170</v>
      </c>
      <c r="U50" s="75"/>
      <c r="V50" s="75"/>
      <c r="W50" s="75">
        <f>Y50+AA50</f>
        <v>39065830</v>
      </c>
      <c r="X50" s="231"/>
      <c r="Y50" s="86">
        <f>L50-R50</f>
        <v>16265830</v>
      </c>
      <c r="Z50" s="231"/>
      <c r="AA50" s="75">
        <f>N50</f>
        <v>22800000</v>
      </c>
      <c r="AB50" s="15"/>
    </row>
    <row r="51" spans="1:28" s="11" customFormat="1" ht="15.75" customHeight="1" x14ac:dyDescent="0.25">
      <c r="A51" s="78"/>
      <c r="B51" s="78"/>
      <c r="C51" s="78"/>
      <c r="D51" s="78">
        <v>341</v>
      </c>
      <c r="E51" s="78">
        <v>6599</v>
      </c>
      <c r="F51" s="79" t="s">
        <v>151</v>
      </c>
      <c r="G51" s="79"/>
      <c r="H51" s="79"/>
      <c r="I51" s="77"/>
      <c r="J51" s="80"/>
      <c r="K51" s="90"/>
      <c r="L51" s="90"/>
      <c r="M51" s="90"/>
      <c r="N51" s="90"/>
      <c r="O51" s="90"/>
      <c r="P51" s="90"/>
      <c r="Q51" s="81"/>
      <c r="R51" s="81">
        <v>9980000</v>
      </c>
      <c r="S51" s="81"/>
      <c r="T51" s="81">
        <f>R51</f>
        <v>9980000</v>
      </c>
      <c r="U51" s="81"/>
      <c r="V51" s="81"/>
      <c r="W51" s="75">
        <f>Y51</f>
        <v>0</v>
      </c>
      <c r="X51" s="78"/>
      <c r="Y51" s="86">
        <f>L173</f>
        <v>0</v>
      </c>
      <c r="Z51" s="78"/>
      <c r="AA51" s="81"/>
      <c r="AB51" s="14"/>
    </row>
    <row r="52" spans="1:28" s="11" customFormat="1" ht="21" customHeight="1" x14ac:dyDescent="0.25">
      <c r="A52" s="78"/>
      <c r="B52" s="78"/>
      <c r="C52" s="78"/>
      <c r="D52" s="78">
        <v>341</v>
      </c>
      <c r="E52" s="78">
        <v>6913</v>
      </c>
      <c r="F52" s="79" t="s">
        <v>173</v>
      </c>
      <c r="G52" s="79"/>
      <c r="H52" s="79"/>
      <c r="I52" s="80"/>
      <c r="J52" s="80"/>
      <c r="K52" s="90"/>
      <c r="L52" s="90"/>
      <c r="M52" s="90"/>
      <c r="N52" s="90"/>
      <c r="O52" s="90"/>
      <c r="P52" s="90"/>
      <c r="Q52" s="81"/>
      <c r="R52" s="81">
        <v>19410000</v>
      </c>
      <c r="S52" s="81"/>
      <c r="T52" s="81">
        <f>R52</f>
        <v>19410000</v>
      </c>
      <c r="U52" s="81"/>
      <c r="V52" s="81"/>
      <c r="W52" s="75">
        <f>Y52</f>
        <v>0</v>
      </c>
      <c r="X52" s="78"/>
      <c r="Y52" s="86">
        <f>L174</f>
        <v>0</v>
      </c>
      <c r="Z52" s="78"/>
      <c r="AA52" s="81"/>
      <c r="AB52" s="14"/>
    </row>
    <row r="53" spans="1:28" s="11" customFormat="1" ht="22.5" customHeight="1" x14ac:dyDescent="0.25">
      <c r="A53" s="78"/>
      <c r="B53" s="78"/>
      <c r="C53" s="78"/>
      <c r="D53" s="78">
        <v>341</v>
      </c>
      <c r="E53" s="78">
        <v>7799</v>
      </c>
      <c r="F53" s="79" t="s">
        <v>186</v>
      </c>
      <c r="G53" s="79"/>
      <c r="H53" s="79"/>
      <c r="I53" s="80"/>
      <c r="J53" s="80"/>
      <c r="K53" s="90"/>
      <c r="L53" s="90"/>
      <c r="M53" s="90"/>
      <c r="N53" s="90"/>
      <c r="O53" s="90"/>
      <c r="P53" s="90"/>
      <c r="Q53" s="81"/>
      <c r="R53" s="81">
        <v>15823290</v>
      </c>
      <c r="S53" s="81"/>
      <c r="T53" s="81">
        <v>15823290</v>
      </c>
      <c r="U53" s="81"/>
      <c r="V53" s="81"/>
      <c r="W53" s="75">
        <f>Y53</f>
        <v>0</v>
      </c>
      <c r="X53" s="78"/>
      <c r="Y53" s="86">
        <f>L175</f>
        <v>0</v>
      </c>
      <c r="Z53" s="78"/>
      <c r="AA53" s="81"/>
      <c r="AB53" s="14"/>
    </row>
    <row r="54" spans="1:28" s="11" customFormat="1" ht="18.75" customHeight="1" x14ac:dyDescent="0.25">
      <c r="A54" s="78"/>
      <c r="B54" s="78"/>
      <c r="C54" s="78"/>
      <c r="D54" s="78">
        <v>341</v>
      </c>
      <c r="E54" s="78">
        <v>7799</v>
      </c>
      <c r="F54" s="84" t="s">
        <v>190</v>
      </c>
      <c r="G54" s="84"/>
      <c r="H54" s="84"/>
      <c r="I54" s="80"/>
      <c r="J54" s="80"/>
      <c r="K54" s="90"/>
      <c r="L54" s="90"/>
      <c r="M54" s="90"/>
      <c r="N54" s="90"/>
      <c r="O54" s="90"/>
      <c r="P54" s="90"/>
      <c r="Q54" s="81"/>
      <c r="R54" s="81">
        <v>16200000</v>
      </c>
      <c r="S54" s="81"/>
      <c r="T54" s="81">
        <v>16200000</v>
      </c>
      <c r="U54" s="81"/>
      <c r="V54" s="81"/>
      <c r="W54" s="75">
        <f>Y54</f>
        <v>0</v>
      </c>
      <c r="X54" s="78"/>
      <c r="Y54" s="86">
        <f>L176</f>
        <v>0</v>
      </c>
      <c r="Z54" s="78"/>
      <c r="AA54" s="81"/>
      <c r="AB54" s="14"/>
    </row>
    <row r="55" spans="1:28" s="11" customFormat="1" ht="27" customHeight="1" x14ac:dyDescent="0.25">
      <c r="A55" s="78"/>
      <c r="B55" s="78"/>
      <c r="C55" s="78"/>
      <c r="D55" s="78">
        <v>341</v>
      </c>
      <c r="E55" s="78">
        <v>7799</v>
      </c>
      <c r="F55" s="95" t="s">
        <v>257</v>
      </c>
      <c r="G55" s="95"/>
      <c r="H55" s="248"/>
      <c r="I55" s="80"/>
      <c r="J55" s="80"/>
      <c r="K55" s="90"/>
      <c r="L55" s="90"/>
      <c r="M55" s="90"/>
      <c r="N55" s="90"/>
      <c r="O55" s="90"/>
      <c r="P55" s="90"/>
      <c r="Q55" s="81"/>
      <c r="R55" s="100">
        <v>19520880</v>
      </c>
      <c r="S55" s="190"/>
      <c r="T55" s="100">
        <v>19520880</v>
      </c>
      <c r="U55" s="81"/>
      <c r="V55" s="81"/>
      <c r="W55" s="75">
        <f>Y55</f>
        <v>0</v>
      </c>
      <c r="X55" s="78"/>
      <c r="Y55" s="86">
        <f>L177</f>
        <v>0</v>
      </c>
      <c r="Z55" s="78"/>
      <c r="AA55" s="81"/>
      <c r="AB55" s="14"/>
    </row>
    <row r="56" spans="1:28" s="16" customFormat="1" ht="27.75" customHeight="1" x14ac:dyDescent="0.25">
      <c r="A56" s="231"/>
      <c r="B56" s="231"/>
      <c r="C56" s="231"/>
      <c r="D56" s="231">
        <v>341</v>
      </c>
      <c r="E56" s="231"/>
      <c r="F56" s="85" t="s">
        <v>93</v>
      </c>
      <c r="G56" s="85"/>
      <c r="H56" s="85"/>
      <c r="I56" s="77">
        <f>J56+O56</f>
        <v>20000000</v>
      </c>
      <c r="J56" s="77">
        <f>SUM(K56:N56)</f>
        <v>20000000</v>
      </c>
      <c r="K56" s="94"/>
      <c r="L56" s="94">
        <f>20000*1000-N56</f>
        <v>16200000</v>
      </c>
      <c r="M56" s="94"/>
      <c r="N56" s="94">
        <f>2000000+1800000</f>
        <v>3800000</v>
      </c>
      <c r="O56" s="94">
        <f>SUM(P56:Q56)</f>
        <v>0</v>
      </c>
      <c r="P56" s="94"/>
      <c r="Q56" s="94"/>
      <c r="R56" s="75"/>
      <c r="S56" s="75"/>
      <c r="T56" s="75"/>
      <c r="U56" s="75"/>
      <c r="V56" s="75"/>
      <c r="W56" s="75">
        <f>Y56+AA56</f>
        <v>20000000</v>
      </c>
      <c r="X56" s="231"/>
      <c r="Y56" s="86">
        <f>L56</f>
        <v>16200000</v>
      </c>
      <c r="Z56" s="231"/>
      <c r="AA56" s="75">
        <f>N56</f>
        <v>3800000</v>
      </c>
      <c r="AB56" s="15"/>
    </row>
    <row r="57" spans="1:28" s="16" customFormat="1" ht="24.75" customHeight="1" x14ac:dyDescent="0.25">
      <c r="A57" s="231"/>
      <c r="B57" s="231"/>
      <c r="C57" s="231"/>
      <c r="D57" s="231">
        <v>341</v>
      </c>
      <c r="E57" s="231"/>
      <c r="F57" s="85" t="s">
        <v>94</v>
      </c>
      <c r="G57" s="85"/>
      <c r="H57" s="85"/>
      <c r="I57" s="77">
        <f>J57+O57</f>
        <v>40000000</v>
      </c>
      <c r="J57" s="77">
        <f>SUM(K57:N57)</f>
        <v>40000000</v>
      </c>
      <c r="K57" s="94"/>
      <c r="L57" s="94">
        <f>40000*1000-N57</f>
        <v>32400000</v>
      </c>
      <c r="M57" s="94"/>
      <c r="N57" s="94">
        <f>4000000+3600000</f>
        <v>7600000</v>
      </c>
      <c r="O57" s="94">
        <f>SUM(P57:Q57)</f>
        <v>0</v>
      </c>
      <c r="P57" s="94"/>
      <c r="Q57" s="94"/>
      <c r="R57" s="75"/>
      <c r="S57" s="185"/>
      <c r="T57" s="75"/>
      <c r="U57" s="75"/>
      <c r="V57" s="75"/>
      <c r="W57" s="75">
        <f>Y57+AA57</f>
        <v>40000000</v>
      </c>
      <c r="X57" s="231"/>
      <c r="Y57" s="86">
        <f>L57</f>
        <v>32400000</v>
      </c>
      <c r="Z57" s="231"/>
      <c r="AA57" s="75">
        <f>N57</f>
        <v>7600000</v>
      </c>
      <c r="AB57" s="15"/>
    </row>
    <row r="58" spans="1:28" s="16" customFormat="1" ht="15.75" customHeight="1" x14ac:dyDescent="0.25">
      <c r="A58" s="231"/>
      <c r="B58" s="231"/>
      <c r="C58" s="231"/>
      <c r="D58" s="231">
        <v>341</v>
      </c>
      <c r="E58" s="231"/>
      <c r="F58" s="85" t="s">
        <v>95</v>
      </c>
      <c r="G58" s="85"/>
      <c r="H58" s="85"/>
      <c r="I58" s="77">
        <f>J58+O58</f>
        <v>30000000</v>
      </c>
      <c r="J58" s="77">
        <f>SUM(K58:N58)</f>
        <v>30000000</v>
      </c>
      <c r="K58" s="94"/>
      <c r="L58" s="94">
        <f>30000*1000-N58</f>
        <v>25600000</v>
      </c>
      <c r="M58" s="94"/>
      <c r="N58" s="94">
        <f>3000000+1400000</f>
        <v>4400000</v>
      </c>
      <c r="O58" s="94">
        <f>SUM(P58:Q58)</f>
        <v>0</v>
      </c>
      <c r="P58" s="94"/>
      <c r="Q58" s="94"/>
      <c r="R58" s="75">
        <f>SUM(R59:R63)</f>
        <v>25548800</v>
      </c>
      <c r="S58" s="185"/>
      <c r="T58" s="75">
        <f>SUM(T59:T63)</f>
        <v>25548800</v>
      </c>
      <c r="U58" s="75"/>
      <c r="V58" s="75"/>
      <c r="W58" s="75">
        <f>Y58+AA58</f>
        <v>4451200</v>
      </c>
      <c r="X58" s="231"/>
      <c r="Y58" s="86">
        <f>L58-R58</f>
        <v>51200</v>
      </c>
      <c r="Z58" s="231"/>
      <c r="AA58" s="75">
        <f>N58</f>
        <v>4400000</v>
      </c>
      <c r="AB58" s="15"/>
    </row>
    <row r="59" spans="1:28" s="11" customFormat="1" ht="22.5" customHeight="1" x14ac:dyDescent="0.25">
      <c r="A59" s="78"/>
      <c r="B59" s="78"/>
      <c r="C59" s="78"/>
      <c r="D59" s="78">
        <v>341</v>
      </c>
      <c r="E59" s="78">
        <v>6651</v>
      </c>
      <c r="F59" s="79" t="s">
        <v>158</v>
      </c>
      <c r="G59" s="79"/>
      <c r="H59" s="79"/>
      <c r="I59" s="80"/>
      <c r="J59" s="80"/>
      <c r="K59" s="90"/>
      <c r="L59" s="90"/>
      <c r="M59" s="90"/>
      <c r="N59" s="90"/>
      <c r="O59" s="90"/>
      <c r="P59" s="90"/>
      <c r="Q59" s="90"/>
      <c r="R59" s="81">
        <v>3564000</v>
      </c>
      <c r="S59" s="93"/>
      <c r="T59" s="81">
        <f>R59</f>
        <v>3564000</v>
      </c>
      <c r="U59" s="81"/>
      <c r="V59" s="81"/>
      <c r="W59" s="75">
        <f>Y59</f>
        <v>0</v>
      </c>
      <c r="X59" s="78"/>
      <c r="Y59" s="86">
        <f>L181</f>
        <v>0</v>
      </c>
      <c r="Z59" s="78"/>
      <c r="AA59" s="81"/>
      <c r="AB59" s="14"/>
    </row>
    <row r="60" spans="1:28" s="11" customFormat="1" ht="27.75" customHeight="1" x14ac:dyDescent="0.25">
      <c r="A60" s="78"/>
      <c r="B60" s="78"/>
      <c r="C60" s="78"/>
      <c r="D60" s="78">
        <v>341</v>
      </c>
      <c r="E60" s="78">
        <v>6651</v>
      </c>
      <c r="F60" s="79" t="s">
        <v>159</v>
      </c>
      <c r="G60" s="79"/>
      <c r="H60" s="79"/>
      <c r="I60" s="80"/>
      <c r="J60" s="80"/>
      <c r="K60" s="90"/>
      <c r="L60" s="90"/>
      <c r="M60" s="90"/>
      <c r="N60" s="90"/>
      <c r="O60" s="90"/>
      <c r="P60" s="90"/>
      <c r="Q60" s="90"/>
      <c r="R60" s="81">
        <f>R59</f>
        <v>3564000</v>
      </c>
      <c r="S60" s="93"/>
      <c r="T60" s="81">
        <f>T59</f>
        <v>3564000</v>
      </c>
      <c r="U60" s="81"/>
      <c r="V60" s="81"/>
      <c r="W60" s="75">
        <f>Y60</f>
        <v>0</v>
      </c>
      <c r="X60" s="78"/>
      <c r="Y60" s="86">
        <f>L182</f>
        <v>0</v>
      </c>
      <c r="Z60" s="78"/>
      <c r="AA60" s="81"/>
      <c r="AB60" s="14"/>
    </row>
    <row r="61" spans="1:28" s="11" customFormat="1" ht="25.5" customHeight="1" x14ac:dyDescent="0.25">
      <c r="A61" s="78"/>
      <c r="B61" s="78"/>
      <c r="C61" s="78"/>
      <c r="D61" s="78">
        <v>341</v>
      </c>
      <c r="E61" s="78">
        <v>6652</v>
      </c>
      <c r="F61" s="79" t="s">
        <v>160</v>
      </c>
      <c r="G61" s="79"/>
      <c r="H61" s="79"/>
      <c r="I61" s="80"/>
      <c r="J61" s="80"/>
      <c r="K61" s="90"/>
      <c r="L61" s="90"/>
      <c r="M61" s="90"/>
      <c r="N61" s="90"/>
      <c r="O61" s="90"/>
      <c r="P61" s="90"/>
      <c r="Q61" s="90"/>
      <c r="R61" s="81">
        <v>1000000</v>
      </c>
      <c r="S61" s="93"/>
      <c r="T61" s="81">
        <f>R61</f>
        <v>1000000</v>
      </c>
      <c r="U61" s="81"/>
      <c r="V61" s="81"/>
      <c r="W61" s="75">
        <f>Y61</f>
        <v>0</v>
      </c>
      <c r="X61" s="78"/>
      <c r="Y61" s="86">
        <f>L183</f>
        <v>0</v>
      </c>
      <c r="Z61" s="78"/>
      <c r="AA61" s="81"/>
      <c r="AB61" s="14"/>
    </row>
    <row r="62" spans="1:28" s="11" customFormat="1" ht="21.75" customHeight="1" x14ac:dyDescent="0.25">
      <c r="A62" s="78"/>
      <c r="B62" s="78"/>
      <c r="C62" s="78"/>
      <c r="D62" s="78">
        <v>341</v>
      </c>
      <c r="E62" s="78">
        <v>6652</v>
      </c>
      <c r="F62" s="79" t="s">
        <v>161</v>
      </c>
      <c r="G62" s="79"/>
      <c r="H62" s="79"/>
      <c r="I62" s="80"/>
      <c r="J62" s="80"/>
      <c r="K62" s="90"/>
      <c r="L62" s="90"/>
      <c r="M62" s="90"/>
      <c r="N62" s="90"/>
      <c r="O62" s="90"/>
      <c r="P62" s="90"/>
      <c r="Q62" s="90"/>
      <c r="R62" s="81">
        <v>1000000</v>
      </c>
      <c r="S62" s="93"/>
      <c r="T62" s="81">
        <f>R62</f>
        <v>1000000</v>
      </c>
      <c r="U62" s="81"/>
      <c r="V62" s="81"/>
      <c r="W62" s="75">
        <f>Y62</f>
        <v>0</v>
      </c>
      <c r="X62" s="78"/>
      <c r="Y62" s="86">
        <f>L184</f>
        <v>0</v>
      </c>
      <c r="Z62" s="78"/>
      <c r="AA62" s="81"/>
      <c r="AB62" s="14"/>
    </row>
    <row r="63" spans="1:28" s="11" customFormat="1" ht="24" customHeight="1" x14ac:dyDescent="0.25">
      <c r="A63" s="78"/>
      <c r="B63" s="78"/>
      <c r="C63" s="78"/>
      <c r="D63" s="78">
        <v>341</v>
      </c>
      <c r="E63" s="78">
        <v>6699</v>
      </c>
      <c r="F63" s="79" t="s">
        <v>162</v>
      </c>
      <c r="G63" s="79"/>
      <c r="H63" s="79"/>
      <c r="I63" s="80"/>
      <c r="J63" s="80"/>
      <c r="K63" s="90"/>
      <c r="L63" s="90"/>
      <c r="M63" s="90"/>
      <c r="N63" s="90"/>
      <c r="O63" s="90"/>
      <c r="P63" s="90"/>
      <c r="Q63" s="90"/>
      <c r="R63" s="81">
        <v>16420800</v>
      </c>
      <c r="S63" s="93"/>
      <c r="T63" s="81">
        <f>R63</f>
        <v>16420800</v>
      </c>
      <c r="U63" s="81"/>
      <c r="V63" s="81"/>
      <c r="W63" s="75">
        <f>Y63</f>
        <v>0</v>
      </c>
      <c r="X63" s="78"/>
      <c r="Y63" s="86">
        <f>L185</f>
        <v>0</v>
      </c>
      <c r="Z63" s="78"/>
      <c r="AA63" s="81"/>
      <c r="AB63" s="14"/>
    </row>
    <row r="64" spans="1:28" s="16" customFormat="1" ht="17.25" customHeight="1" x14ac:dyDescent="0.25">
      <c r="A64" s="231"/>
      <c r="B64" s="231"/>
      <c r="C64" s="231"/>
      <c r="D64" s="231">
        <v>341</v>
      </c>
      <c r="E64" s="231"/>
      <c r="F64" s="85" t="s">
        <v>96</v>
      </c>
      <c r="G64" s="85"/>
      <c r="H64" s="85"/>
      <c r="I64" s="77">
        <f>J64+O64</f>
        <v>15000000</v>
      </c>
      <c r="J64" s="77">
        <f>SUM(K64:N64)</f>
        <v>15000000</v>
      </c>
      <c r="K64" s="94"/>
      <c r="L64" s="94">
        <f>15000*1000-N64</f>
        <v>12200000</v>
      </c>
      <c r="M64" s="94"/>
      <c r="N64" s="94">
        <f>1500000+1300000</f>
        <v>2800000</v>
      </c>
      <c r="O64" s="94">
        <f>SUM(P64:Q64)</f>
        <v>0</v>
      </c>
      <c r="P64" s="94"/>
      <c r="Q64" s="94"/>
      <c r="R64" s="75"/>
      <c r="S64" s="75"/>
      <c r="T64" s="75"/>
      <c r="U64" s="75"/>
      <c r="V64" s="75"/>
      <c r="W64" s="75">
        <f>Y64+AA64</f>
        <v>15000000</v>
      </c>
      <c r="X64" s="231"/>
      <c r="Y64" s="86">
        <f>L64</f>
        <v>12200000</v>
      </c>
      <c r="Z64" s="231"/>
      <c r="AA64" s="75">
        <f>N64</f>
        <v>2800000</v>
      </c>
      <c r="AB64" s="15"/>
    </row>
    <row r="65" spans="1:28" s="16" customFormat="1" ht="24" customHeight="1" x14ac:dyDescent="0.25">
      <c r="A65" s="231"/>
      <c r="B65" s="231"/>
      <c r="C65" s="231"/>
      <c r="D65" s="231">
        <v>341</v>
      </c>
      <c r="E65" s="231"/>
      <c r="F65" s="85" t="s">
        <v>6</v>
      </c>
      <c r="G65" s="85"/>
      <c r="H65" s="85"/>
      <c r="I65" s="77">
        <f>J65+O65</f>
        <v>40000000</v>
      </c>
      <c r="J65" s="77">
        <f>SUM(K65:N65)</f>
        <v>40000000</v>
      </c>
      <c r="K65" s="94"/>
      <c r="L65" s="94">
        <f>40000*1000-N65</f>
        <v>32400000</v>
      </c>
      <c r="M65" s="94"/>
      <c r="N65" s="94">
        <f>4000000+3600000</f>
        <v>7600000</v>
      </c>
      <c r="O65" s="94">
        <f>SUM(P65:Q65)</f>
        <v>0</v>
      </c>
      <c r="P65" s="94"/>
      <c r="Q65" s="94"/>
      <c r="R65" s="75">
        <f>T65</f>
        <v>10000000</v>
      </c>
      <c r="S65" s="75"/>
      <c r="T65" s="75">
        <f>T66</f>
        <v>10000000</v>
      </c>
      <c r="U65" s="75"/>
      <c r="V65" s="75"/>
      <c r="W65" s="75">
        <f>Y65+AA65</f>
        <v>30000000</v>
      </c>
      <c r="X65" s="231"/>
      <c r="Y65" s="86">
        <f>L65-R65</f>
        <v>22400000</v>
      </c>
      <c r="Z65" s="231"/>
      <c r="AA65" s="75">
        <f>N65</f>
        <v>7600000</v>
      </c>
      <c r="AB65" s="15"/>
    </row>
    <row r="66" spans="1:28" s="11" customFormat="1" ht="24" customHeight="1" x14ac:dyDescent="0.25">
      <c r="A66" s="78"/>
      <c r="B66" s="78"/>
      <c r="C66" s="78"/>
      <c r="D66" s="78">
        <v>341</v>
      </c>
      <c r="E66" s="78">
        <v>7053</v>
      </c>
      <c r="F66" s="79" t="s">
        <v>277</v>
      </c>
      <c r="G66" s="79"/>
      <c r="H66" s="79"/>
      <c r="I66" s="80"/>
      <c r="J66" s="80"/>
      <c r="K66" s="90"/>
      <c r="L66" s="90"/>
      <c r="M66" s="90"/>
      <c r="N66" s="90"/>
      <c r="O66" s="90"/>
      <c r="P66" s="90"/>
      <c r="Q66" s="90"/>
      <c r="R66" s="81">
        <f>T66</f>
        <v>10000000</v>
      </c>
      <c r="S66" s="81"/>
      <c r="T66" s="81">
        <v>10000000</v>
      </c>
      <c r="U66" s="81"/>
      <c r="V66" s="81"/>
      <c r="W66" s="75">
        <f>Y66</f>
        <v>0</v>
      </c>
      <c r="X66" s="78"/>
      <c r="Y66" s="86">
        <f>L188</f>
        <v>0</v>
      </c>
      <c r="Z66" s="78"/>
      <c r="AA66" s="81"/>
      <c r="AB66" s="14"/>
    </row>
    <row r="67" spans="1:28" s="16" customFormat="1" ht="30" customHeight="1" x14ac:dyDescent="0.25">
      <c r="A67" s="231"/>
      <c r="B67" s="231"/>
      <c r="C67" s="231"/>
      <c r="D67" s="231">
        <v>341</v>
      </c>
      <c r="E67" s="231"/>
      <c r="F67" s="85" t="s">
        <v>97</v>
      </c>
      <c r="G67" s="85"/>
      <c r="H67" s="85"/>
      <c r="I67" s="77">
        <f>J67+O67</f>
        <v>7000000</v>
      </c>
      <c r="J67" s="77">
        <f>SUM(K67:N67)</f>
        <v>7000000</v>
      </c>
      <c r="K67" s="94"/>
      <c r="L67" s="94">
        <f>7000*1000-N67</f>
        <v>5700000</v>
      </c>
      <c r="M67" s="94"/>
      <c r="N67" s="94">
        <f>700000+600000</f>
        <v>1300000</v>
      </c>
      <c r="O67" s="94">
        <f>SUM(P67:Q67)</f>
        <v>0</v>
      </c>
      <c r="P67" s="94"/>
      <c r="Q67" s="94"/>
      <c r="R67" s="75"/>
      <c r="S67" s="75"/>
      <c r="T67" s="75"/>
      <c r="U67" s="75"/>
      <c r="V67" s="75"/>
      <c r="W67" s="75">
        <f>Y67+AA67</f>
        <v>7000000</v>
      </c>
      <c r="X67" s="231"/>
      <c r="Y67" s="86">
        <f>L67</f>
        <v>5700000</v>
      </c>
      <c r="Z67" s="231"/>
      <c r="AA67" s="75">
        <f>N67</f>
        <v>1300000</v>
      </c>
      <c r="AB67" s="15"/>
    </row>
    <row r="68" spans="1:28" s="16" customFormat="1" ht="21.75" customHeight="1" x14ac:dyDescent="0.25">
      <c r="A68" s="231">
        <v>4.2</v>
      </c>
      <c r="B68" s="231">
        <v>830</v>
      </c>
      <c r="C68" s="231">
        <v>340</v>
      </c>
      <c r="D68" s="231">
        <v>341</v>
      </c>
      <c r="E68" s="231"/>
      <c r="F68" s="217" t="s">
        <v>98</v>
      </c>
      <c r="G68" s="217"/>
      <c r="H68" s="217"/>
      <c r="I68" s="77">
        <f t="shared" ref="I68:Q68" si="8">SUM(I69:I74)</f>
        <v>820540000</v>
      </c>
      <c r="J68" s="77">
        <f t="shared" si="8"/>
        <v>820540000</v>
      </c>
      <c r="K68" s="77">
        <f t="shared" si="8"/>
        <v>540540000</v>
      </c>
      <c r="L68" s="77">
        <f t="shared" si="8"/>
        <v>280000000</v>
      </c>
      <c r="M68" s="77">
        <f t="shared" si="8"/>
        <v>0</v>
      </c>
      <c r="N68" s="77">
        <f t="shared" si="8"/>
        <v>0</v>
      </c>
      <c r="O68" s="77">
        <f t="shared" si="8"/>
        <v>0</v>
      </c>
      <c r="P68" s="77">
        <f t="shared" si="8"/>
        <v>0</v>
      </c>
      <c r="Q68" s="77">
        <f t="shared" si="8"/>
        <v>0</v>
      </c>
      <c r="R68" s="77">
        <f>R69+R72+R74</f>
        <v>584111300</v>
      </c>
      <c r="S68" s="77">
        <f>S69+S72+S74</f>
        <v>318111300</v>
      </c>
      <c r="T68" s="77">
        <f>T69+T72+T74</f>
        <v>266000000</v>
      </c>
      <c r="U68" s="77">
        <f t="shared" ref="U68:AA68" si="9">U69+U72+U74</f>
        <v>0</v>
      </c>
      <c r="V68" s="77">
        <f t="shared" si="9"/>
        <v>0</v>
      </c>
      <c r="W68" s="75">
        <f>X68+Y68</f>
        <v>236428700</v>
      </c>
      <c r="X68" s="77">
        <f>K68-S68</f>
        <v>222428700</v>
      </c>
      <c r="Y68" s="86">
        <f>Y72</f>
        <v>14000000</v>
      </c>
      <c r="Z68" s="77">
        <f t="shared" si="9"/>
        <v>0</v>
      </c>
      <c r="AA68" s="77">
        <f t="shared" si="9"/>
        <v>0</v>
      </c>
      <c r="AB68" s="15"/>
    </row>
    <row r="69" spans="1:28" s="18" customFormat="1" ht="38.25" customHeight="1" x14ac:dyDescent="0.25">
      <c r="A69" s="231"/>
      <c r="B69" s="231"/>
      <c r="C69" s="231"/>
      <c r="D69" s="231">
        <v>341</v>
      </c>
      <c r="E69" s="231"/>
      <c r="F69" s="85" t="s">
        <v>99</v>
      </c>
      <c r="G69" s="85"/>
      <c r="H69" s="85"/>
      <c r="I69" s="77">
        <f>J69+O69</f>
        <v>540540000</v>
      </c>
      <c r="J69" s="77">
        <f>SUM(K69:N69)</f>
        <v>540540000</v>
      </c>
      <c r="K69" s="94">
        <f>'[1]PHỤ CẤP ĐB HDND'!$J$6*1000</f>
        <v>540540000</v>
      </c>
      <c r="L69" s="94"/>
      <c r="M69" s="94"/>
      <c r="N69" s="94"/>
      <c r="O69" s="94">
        <f>SUM(P69:Q69)</f>
        <v>0</v>
      </c>
      <c r="P69" s="94"/>
      <c r="Q69" s="94"/>
      <c r="R69" s="75">
        <f>SUM(R70:R71)</f>
        <v>318111300</v>
      </c>
      <c r="S69" s="75">
        <f>SUM(S70:S71)</f>
        <v>318111300</v>
      </c>
      <c r="T69" s="75"/>
      <c r="U69" s="110"/>
      <c r="V69" s="110"/>
      <c r="W69" s="75">
        <f>X69</f>
        <v>222428700</v>
      </c>
      <c r="X69" s="86">
        <f>J69-R69</f>
        <v>222428700</v>
      </c>
      <c r="Y69" s="86">
        <f>L191</f>
        <v>0</v>
      </c>
      <c r="Z69" s="231"/>
      <c r="AA69" s="75"/>
      <c r="AB69" s="215">
        <f>W68+S68</f>
        <v>554540000</v>
      </c>
    </row>
    <row r="70" spans="1:28" s="13" customFormat="1" ht="18" customHeight="1" x14ac:dyDescent="0.25">
      <c r="A70" s="78"/>
      <c r="B70" s="78"/>
      <c r="C70" s="78"/>
      <c r="D70" s="78">
        <v>341</v>
      </c>
      <c r="E70" s="78">
        <v>6111</v>
      </c>
      <c r="F70" s="79" t="s">
        <v>222</v>
      </c>
      <c r="G70" s="79"/>
      <c r="H70" s="79"/>
      <c r="I70" s="80"/>
      <c r="J70" s="80"/>
      <c r="K70" s="90"/>
      <c r="L70" s="90"/>
      <c r="M70" s="90"/>
      <c r="N70" s="90"/>
      <c r="O70" s="90"/>
      <c r="P70" s="90"/>
      <c r="Q70" s="90"/>
      <c r="R70" s="81">
        <v>309582000</v>
      </c>
      <c r="S70" s="81">
        <f>R70</f>
        <v>309582000</v>
      </c>
      <c r="T70" s="81"/>
      <c r="U70" s="111"/>
      <c r="V70" s="111"/>
      <c r="W70" s="75">
        <f t="shared" ref="W70:W76" si="10">Y70</f>
        <v>0</v>
      </c>
      <c r="X70" s="83"/>
      <c r="Y70" s="86">
        <f>L192</f>
        <v>0</v>
      </c>
      <c r="Z70" s="78"/>
      <c r="AA70" s="81"/>
      <c r="AB70" s="218">
        <f>X69+R69</f>
        <v>540540000</v>
      </c>
    </row>
    <row r="71" spans="1:28" s="13" customFormat="1" ht="21" customHeight="1" x14ac:dyDescent="0.25">
      <c r="A71" s="78"/>
      <c r="B71" s="78"/>
      <c r="C71" s="78"/>
      <c r="D71" s="78">
        <v>341</v>
      </c>
      <c r="E71" s="78">
        <v>6302</v>
      </c>
      <c r="F71" s="79" t="s">
        <v>256</v>
      </c>
      <c r="G71" s="79"/>
      <c r="H71" s="79"/>
      <c r="I71" s="80"/>
      <c r="J71" s="80"/>
      <c r="K71" s="90"/>
      <c r="L71" s="90"/>
      <c r="M71" s="90"/>
      <c r="N71" s="90"/>
      <c r="O71" s="90"/>
      <c r="P71" s="90"/>
      <c r="Q71" s="90"/>
      <c r="R71" s="81">
        <f>1684800+6844500</f>
        <v>8529300</v>
      </c>
      <c r="S71" s="81">
        <f>1684800+6844500</f>
        <v>8529300</v>
      </c>
      <c r="T71" s="81"/>
      <c r="U71" s="111"/>
      <c r="V71" s="111"/>
      <c r="W71" s="75">
        <f t="shared" si="10"/>
        <v>0</v>
      </c>
      <c r="X71" s="83"/>
      <c r="Y71" s="86">
        <f>L193</f>
        <v>0</v>
      </c>
      <c r="Z71" s="78"/>
      <c r="AA71" s="81"/>
      <c r="AB71" s="12"/>
    </row>
    <row r="72" spans="1:28" s="16" customFormat="1" ht="27.75" customHeight="1" x14ac:dyDescent="0.25">
      <c r="A72" s="231"/>
      <c r="B72" s="231"/>
      <c r="C72" s="231"/>
      <c r="D72" s="231">
        <v>341</v>
      </c>
      <c r="E72" s="231"/>
      <c r="F72" s="85" t="s">
        <v>100</v>
      </c>
      <c r="G72" s="85"/>
      <c r="H72" s="85"/>
      <c r="I72" s="77">
        <f>J72+O72</f>
        <v>80000000</v>
      </c>
      <c r="J72" s="77">
        <f>SUM(K72:N72)</f>
        <v>80000000</v>
      </c>
      <c r="K72" s="94"/>
      <c r="L72" s="94">
        <f>80000*1000</f>
        <v>80000000</v>
      </c>
      <c r="M72" s="94"/>
      <c r="N72" s="94"/>
      <c r="O72" s="94">
        <f>SUM(P72:Q72)</f>
        <v>0</v>
      </c>
      <c r="P72" s="94"/>
      <c r="Q72" s="94"/>
      <c r="R72" s="75">
        <f>R73</f>
        <v>66000000</v>
      </c>
      <c r="S72" s="185"/>
      <c r="T72" s="75">
        <f>T73</f>
        <v>66000000</v>
      </c>
      <c r="U72" s="75"/>
      <c r="V72" s="75"/>
      <c r="W72" s="75">
        <f>Y72</f>
        <v>14000000</v>
      </c>
      <c r="X72" s="86"/>
      <c r="Y72" s="86">
        <f>J72-T72</f>
        <v>14000000</v>
      </c>
      <c r="Z72" s="231"/>
      <c r="AA72" s="75"/>
      <c r="AB72" s="15"/>
    </row>
    <row r="73" spans="1:28" s="11" customFormat="1" ht="27.75" customHeight="1" x14ac:dyDescent="0.25">
      <c r="A73" s="78"/>
      <c r="B73" s="78"/>
      <c r="C73" s="78"/>
      <c r="D73" s="78">
        <v>341</v>
      </c>
      <c r="E73" s="78">
        <v>7004</v>
      </c>
      <c r="F73" s="79" t="s">
        <v>280</v>
      </c>
      <c r="G73" s="79"/>
      <c r="H73" s="79"/>
      <c r="I73" s="80"/>
      <c r="J73" s="80"/>
      <c r="K73" s="90"/>
      <c r="L73" s="90"/>
      <c r="M73" s="90"/>
      <c r="N73" s="90"/>
      <c r="O73" s="90"/>
      <c r="P73" s="90"/>
      <c r="Q73" s="90"/>
      <c r="R73" s="81">
        <f>T73</f>
        <v>66000000</v>
      </c>
      <c r="S73" s="93"/>
      <c r="T73" s="81">
        <v>66000000</v>
      </c>
      <c r="U73" s="81"/>
      <c r="V73" s="81"/>
      <c r="W73" s="75">
        <f t="shared" si="10"/>
        <v>0</v>
      </c>
      <c r="X73" s="83"/>
      <c r="Y73" s="86">
        <f>L195</f>
        <v>0</v>
      </c>
      <c r="Z73" s="78"/>
      <c r="AA73" s="81"/>
      <c r="AB73" s="14"/>
    </row>
    <row r="74" spans="1:28" s="18" customFormat="1" ht="24" customHeight="1" x14ac:dyDescent="0.25">
      <c r="A74" s="112"/>
      <c r="B74" s="112"/>
      <c r="C74" s="112"/>
      <c r="D74" s="112">
        <v>341</v>
      </c>
      <c r="E74" s="112"/>
      <c r="F74" s="85" t="s">
        <v>101</v>
      </c>
      <c r="G74" s="85"/>
      <c r="H74" s="85"/>
      <c r="I74" s="77">
        <f>J74+O74</f>
        <v>200000000</v>
      </c>
      <c r="J74" s="77">
        <f>SUM(K74:N74)</f>
        <v>200000000</v>
      </c>
      <c r="K74" s="113"/>
      <c r="L74" s="94">
        <f>200000*1000</f>
        <v>200000000</v>
      </c>
      <c r="M74" s="113"/>
      <c r="N74" s="113"/>
      <c r="O74" s="94">
        <f>SUM(P74:Q74)</f>
        <v>0</v>
      </c>
      <c r="P74" s="113"/>
      <c r="Q74" s="75"/>
      <c r="R74" s="75">
        <f>L74</f>
        <v>200000000</v>
      </c>
      <c r="S74" s="75"/>
      <c r="T74" s="75">
        <f>R74</f>
        <v>200000000</v>
      </c>
      <c r="U74" s="110"/>
      <c r="V74" s="110"/>
      <c r="W74" s="75">
        <f t="shared" si="10"/>
        <v>0</v>
      </c>
      <c r="X74" s="231"/>
      <c r="Y74" s="86">
        <f>J74-T74</f>
        <v>0</v>
      </c>
      <c r="Z74" s="231"/>
      <c r="AA74" s="75"/>
      <c r="AB74" s="17"/>
    </row>
    <row r="75" spans="1:28" s="13" customFormat="1" ht="27.75" customHeight="1" x14ac:dyDescent="0.25">
      <c r="A75" s="114"/>
      <c r="B75" s="114"/>
      <c r="C75" s="114"/>
      <c r="D75" s="114">
        <v>341</v>
      </c>
      <c r="E75" s="114">
        <v>6551</v>
      </c>
      <c r="F75" s="79" t="s">
        <v>149</v>
      </c>
      <c r="G75" s="79"/>
      <c r="H75" s="79"/>
      <c r="I75" s="80"/>
      <c r="J75" s="80"/>
      <c r="K75" s="109"/>
      <c r="L75" s="90"/>
      <c r="M75" s="109"/>
      <c r="N75" s="109"/>
      <c r="O75" s="90"/>
      <c r="P75" s="109"/>
      <c r="Q75" s="81"/>
      <c r="R75" s="81">
        <f>2879000-120000</f>
        <v>2759000</v>
      </c>
      <c r="S75" s="81"/>
      <c r="T75" s="81">
        <f>R75</f>
        <v>2759000</v>
      </c>
      <c r="U75" s="111"/>
      <c r="V75" s="111"/>
      <c r="W75" s="75">
        <f t="shared" si="10"/>
        <v>0</v>
      </c>
      <c r="X75" s="78"/>
      <c r="Y75" s="86">
        <f t="shared" ref="Y75:Y81" si="11">L197</f>
        <v>0</v>
      </c>
      <c r="Z75" s="78"/>
      <c r="AA75" s="81"/>
      <c r="AB75" s="12"/>
    </row>
    <row r="76" spans="1:28" s="13" customFormat="1" ht="18" customHeight="1" x14ac:dyDescent="0.25">
      <c r="A76" s="114"/>
      <c r="B76" s="114"/>
      <c r="C76" s="114"/>
      <c r="D76" s="114">
        <v>341</v>
      </c>
      <c r="E76" s="114">
        <v>7049</v>
      </c>
      <c r="F76" s="79" t="s">
        <v>179</v>
      </c>
      <c r="G76" s="79"/>
      <c r="H76" s="79"/>
      <c r="I76" s="80"/>
      <c r="J76" s="80"/>
      <c r="K76" s="109"/>
      <c r="L76" s="90"/>
      <c r="M76" s="109"/>
      <c r="N76" s="109"/>
      <c r="O76" s="90"/>
      <c r="P76" s="109"/>
      <c r="Q76" s="81"/>
      <c r="R76" s="81">
        <f>R74-R75</f>
        <v>197241000</v>
      </c>
      <c r="S76" s="81">
        <f>S74-S75</f>
        <v>0</v>
      </c>
      <c r="T76" s="81">
        <f>T74-T75</f>
        <v>197241000</v>
      </c>
      <c r="U76" s="111"/>
      <c r="V76" s="111"/>
      <c r="W76" s="75">
        <f t="shared" si="10"/>
        <v>0</v>
      </c>
      <c r="X76" s="78"/>
      <c r="Y76" s="86">
        <f t="shared" si="11"/>
        <v>0</v>
      </c>
      <c r="Z76" s="78"/>
      <c r="AA76" s="81"/>
      <c r="AB76" s="12"/>
    </row>
    <row r="77" spans="1:28" s="16" customFormat="1" ht="35.25" customHeight="1" x14ac:dyDescent="0.25">
      <c r="A77" s="87">
        <v>4.3</v>
      </c>
      <c r="B77" s="87">
        <v>830</v>
      </c>
      <c r="C77" s="87">
        <v>340</v>
      </c>
      <c r="D77" s="87">
        <v>341</v>
      </c>
      <c r="E77" s="87"/>
      <c r="F77" s="85" t="s">
        <v>102</v>
      </c>
      <c r="G77" s="85"/>
      <c r="H77" s="85"/>
      <c r="I77" s="77">
        <f>J77+O77</f>
        <v>11669147000</v>
      </c>
      <c r="J77" s="77">
        <f>SUM(K77:N77)</f>
        <v>11669147000</v>
      </c>
      <c r="K77" s="94">
        <v>11669147000</v>
      </c>
      <c r="L77" s="98"/>
      <c r="M77" s="98"/>
      <c r="N77" s="98"/>
      <c r="O77" s="94">
        <f>SUM(P77:Q77)</f>
        <v>0</v>
      </c>
      <c r="P77" s="98"/>
      <c r="Q77" s="75"/>
      <c r="R77" s="75">
        <f>SUBTOTAL(9,R78:R81)</f>
        <v>7936645281</v>
      </c>
      <c r="S77" s="75">
        <f>SUBTOTAL(9,S78:S81)</f>
        <v>7936645281</v>
      </c>
      <c r="T77" s="75"/>
      <c r="U77" s="75"/>
      <c r="V77" s="75"/>
      <c r="W77" s="75">
        <f>X77</f>
        <v>3732501719</v>
      </c>
      <c r="X77" s="86">
        <f>K77-S77</f>
        <v>3732501719</v>
      </c>
      <c r="Y77" s="86">
        <f t="shared" si="11"/>
        <v>0</v>
      </c>
      <c r="Z77" s="231"/>
      <c r="AA77" s="75"/>
      <c r="AB77" s="15"/>
    </row>
    <row r="78" spans="1:28" s="11" customFormat="1" ht="23.25" customHeight="1" x14ac:dyDescent="0.25">
      <c r="A78" s="108"/>
      <c r="B78" s="108"/>
      <c r="C78" s="108"/>
      <c r="D78" s="108">
        <v>341</v>
      </c>
      <c r="E78" s="108">
        <v>6301</v>
      </c>
      <c r="F78" s="79" t="s">
        <v>227</v>
      </c>
      <c r="G78" s="79"/>
      <c r="H78" s="79"/>
      <c r="I78" s="80"/>
      <c r="J78" s="80"/>
      <c r="K78" s="99"/>
      <c r="L78" s="99"/>
      <c r="M78" s="99"/>
      <c r="N78" s="99"/>
      <c r="O78" s="90"/>
      <c r="P78" s="99"/>
      <c r="Q78" s="81"/>
      <c r="R78" s="81">
        <f>331029282+91396250</f>
        <v>422425532</v>
      </c>
      <c r="S78" s="81">
        <f>R78</f>
        <v>422425532</v>
      </c>
      <c r="T78" s="81"/>
      <c r="U78" s="81"/>
      <c r="V78" s="81"/>
      <c r="W78" s="75">
        <f t="shared" ref="W78:W138" si="12">Y78</f>
        <v>0</v>
      </c>
      <c r="X78" s="83"/>
      <c r="Y78" s="86">
        <f t="shared" si="11"/>
        <v>0</v>
      </c>
      <c r="Z78" s="78"/>
      <c r="AA78" s="81"/>
      <c r="AB78" s="14"/>
    </row>
    <row r="79" spans="1:28" s="11" customFormat="1" ht="15.75" customHeight="1" x14ac:dyDescent="0.25">
      <c r="A79" s="108"/>
      <c r="B79" s="108"/>
      <c r="C79" s="108"/>
      <c r="D79" s="108">
        <v>341</v>
      </c>
      <c r="E79" s="108">
        <v>6302</v>
      </c>
      <c r="F79" s="79" t="s">
        <v>229</v>
      </c>
      <c r="G79" s="79"/>
      <c r="H79" s="79"/>
      <c r="I79" s="80"/>
      <c r="J79" s="80"/>
      <c r="K79" s="99"/>
      <c r="L79" s="99"/>
      <c r="M79" s="99"/>
      <c r="N79" s="99"/>
      <c r="O79" s="90"/>
      <c r="P79" s="99"/>
      <c r="Q79" s="81"/>
      <c r="R79" s="81">
        <f>S79</f>
        <v>70063999</v>
      </c>
      <c r="S79" s="81">
        <f>62549899+4098600+3415500</f>
        <v>70063999</v>
      </c>
      <c r="T79" s="81"/>
      <c r="U79" s="81"/>
      <c r="V79" s="81"/>
      <c r="W79" s="75">
        <f t="shared" si="12"/>
        <v>0</v>
      </c>
      <c r="X79" s="83"/>
      <c r="Y79" s="86">
        <f t="shared" si="11"/>
        <v>0</v>
      </c>
      <c r="Z79" s="78"/>
      <c r="AA79" s="81"/>
      <c r="AB79" s="14"/>
    </row>
    <row r="80" spans="1:28" s="11" customFormat="1" ht="18.75" customHeight="1" x14ac:dyDescent="0.25">
      <c r="A80" s="108"/>
      <c r="B80" s="108"/>
      <c r="C80" s="108"/>
      <c r="D80" s="108">
        <v>341</v>
      </c>
      <c r="E80" s="108">
        <v>6353</v>
      </c>
      <c r="F80" s="79" t="s">
        <v>231</v>
      </c>
      <c r="G80" s="79"/>
      <c r="H80" s="79"/>
      <c r="I80" s="80"/>
      <c r="J80" s="80"/>
      <c r="K80" s="99"/>
      <c r="L80" s="99"/>
      <c r="M80" s="99"/>
      <c r="N80" s="99"/>
      <c r="O80" s="90"/>
      <c r="P80" s="99"/>
      <c r="Q80" s="81"/>
      <c r="R80" s="81">
        <f>4650896250+960930750+471528750</f>
        <v>6083355750</v>
      </c>
      <c r="S80" s="81">
        <f>R80</f>
        <v>6083355750</v>
      </c>
      <c r="T80" s="81"/>
      <c r="U80" s="81"/>
      <c r="V80" s="81"/>
      <c r="W80" s="75">
        <f t="shared" si="12"/>
        <v>0</v>
      </c>
      <c r="X80" s="83"/>
      <c r="Y80" s="86">
        <f t="shared" si="11"/>
        <v>0</v>
      </c>
      <c r="Z80" s="78"/>
      <c r="AA80" s="81"/>
      <c r="AB80" s="14"/>
    </row>
    <row r="81" spans="1:28" s="11" customFormat="1" ht="18.75" customHeight="1" x14ac:dyDescent="0.25">
      <c r="A81" s="108"/>
      <c r="B81" s="108"/>
      <c r="C81" s="108"/>
      <c r="D81" s="108">
        <v>341</v>
      </c>
      <c r="E81" s="108">
        <v>7262</v>
      </c>
      <c r="F81" s="79" t="s">
        <v>242</v>
      </c>
      <c r="G81" s="79"/>
      <c r="H81" s="79"/>
      <c r="I81" s="80"/>
      <c r="J81" s="80"/>
      <c r="K81" s="99"/>
      <c r="L81" s="99"/>
      <c r="M81" s="99"/>
      <c r="N81" s="99"/>
      <c r="O81" s="90"/>
      <c r="P81" s="99"/>
      <c r="Q81" s="81"/>
      <c r="R81" s="81">
        <f>882000000+159600000+159600000+159600000</f>
        <v>1360800000</v>
      </c>
      <c r="S81" s="81">
        <f>R81</f>
        <v>1360800000</v>
      </c>
      <c r="T81" s="81"/>
      <c r="U81" s="81"/>
      <c r="V81" s="81"/>
      <c r="W81" s="75">
        <f t="shared" si="12"/>
        <v>0</v>
      </c>
      <c r="X81" s="83"/>
      <c r="Y81" s="86">
        <f t="shared" si="11"/>
        <v>0</v>
      </c>
      <c r="Z81" s="78"/>
      <c r="AA81" s="81"/>
      <c r="AB81" s="14"/>
    </row>
    <row r="82" spans="1:28" s="18" customFormat="1" ht="27" customHeight="1" x14ac:dyDescent="0.25">
      <c r="A82" s="231">
        <v>5</v>
      </c>
      <c r="B82" s="231">
        <v>830</v>
      </c>
      <c r="C82" s="231">
        <v>340</v>
      </c>
      <c r="D82" s="231">
        <v>341</v>
      </c>
      <c r="E82" s="231"/>
      <c r="F82" s="76" t="s">
        <v>103</v>
      </c>
      <c r="G82" s="76"/>
      <c r="H82" s="76"/>
      <c r="I82" s="77">
        <f>J82+O82</f>
        <v>98700000</v>
      </c>
      <c r="J82" s="77">
        <f>SUM(K82:N82)</f>
        <v>0</v>
      </c>
      <c r="K82" s="98"/>
      <c r="L82" s="77"/>
      <c r="M82" s="77"/>
      <c r="N82" s="77"/>
      <c r="O82" s="94">
        <f>SUM(P82:Q82)</f>
        <v>98700000</v>
      </c>
      <c r="P82" s="77"/>
      <c r="Q82" s="75">
        <v>98700000</v>
      </c>
      <c r="R82" s="75">
        <f>SUM(R83:R84)</f>
        <v>98541580</v>
      </c>
      <c r="S82" s="75">
        <f>SUM(S83:S84)</f>
        <v>0</v>
      </c>
      <c r="T82" s="75">
        <f>SUM(T83:T84)</f>
        <v>98541580</v>
      </c>
      <c r="U82" s="110"/>
      <c r="V82" s="110"/>
      <c r="W82" s="75">
        <f>Y82</f>
        <v>158420</v>
      </c>
      <c r="X82" s="231"/>
      <c r="Y82" s="86">
        <f>O82-R82</f>
        <v>158420</v>
      </c>
      <c r="Z82" s="231"/>
      <c r="AA82" s="75"/>
      <c r="AB82" s="17"/>
    </row>
    <row r="83" spans="1:28" s="18" customFormat="1" ht="27" customHeight="1" x14ac:dyDescent="0.25">
      <c r="A83" s="231"/>
      <c r="B83" s="231"/>
      <c r="C83" s="231"/>
      <c r="D83" s="231">
        <v>341</v>
      </c>
      <c r="E83" s="231">
        <v>7799</v>
      </c>
      <c r="F83" s="79" t="s">
        <v>181</v>
      </c>
      <c r="G83" s="79"/>
      <c r="H83" s="79"/>
      <c r="I83" s="80"/>
      <c r="J83" s="80"/>
      <c r="K83" s="90"/>
      <c r="L83" s="90"/>
      <c r="M83" s="90"/>
      <c r="N83" s="90"/>
      <c r="O83" s="90"/>
      <c r="P83" s="90"/>
      <c r="Q83" s="81"/>
      <c r="R83" s="81">
        <v>49988880</v>
      </c>
      <c r="S83" s="93"/>
      <c r="T83" s="81">
        <f>R83</f>
        <v>49988880</v>
      </c>
      <c r="U83" s="110"/>
      <c r="V83" s="110"/>
      <c r="W83" s="75">
        <f t="shared" si="12"/>
        <v>0</v>
      </c>
      <c r="X83" s="231"/>
      <c r="Y83" s="86">
        <f>L205</f>
        <v>0</v>
      </c>
      <c r="Z83" s="231"/>
      <c r="AA83" s="75"/>
      <c r="AB83" s="17"/>
    </row>
    <row r="84" spans="1:28" s="13" customFormat="1" ht="27" customHeight="1" x14ac:dyDescent="0.25">
      <c r="A84" s="78"/>
      <c r="B84" s="78"/>
      <c r="C84" s="78"/>
      <c r="D84" s="78">
        <v>341</v>
      </c>
      <c r="E84" s="78">
        <v>7799</v>
      </c>
      <c r="F84" s="84" t="s">
        <v>184</v>
      </c>
      <c r="G84" s="84"/>
      <c r="H84" s="84"/>
      <c r="I84" s="80"/>
      <c r="J84" s="80"/>
      <c r="K84" s="99"/>
      <c r="L84" s="80"/>
      <c r="M84" s="80"/>
      <c r="N84" s="80"/>
      <c r="O84" s="90"/>
      <c r="P84" s="80"/>
      <c r="Q84" s="81"/>
      <c r="R84" s="81">
        <v>48552700</v>
      </c>
      <c r="S84" s="93"/>
      <c r="T84" s="81">
        <f>R84</f>
        <v>48552700</v>
      </c>
      <c r="U84" s="111"/>
      <c r="V84" s="111"/>
      <c r="W84" s="75">
        <f t="shared" si="12"/>
        <v>0</v>
      </c>
      <c r="X84" s="78"/>
      <c r="Y84" s="86">
        <f>L206</f>
        <v>0</v>
      </c>
      <c r="Z84" s="78"/>
      <c r="AA84" s="81"/>
      <c r="AB84" s="12"/>
    </row>
    <row r="85" spans="1:28" s="16" customFormat="1" ht="34.5" customHeight="1" x14ac:dyDescent="0.25">
      <c r="A85" s="231">
        <v>6</v>
      </c>
      <c r="B85" s="231">
        <v>830</v>
      </c>
      <c r="C85" s="87" t="s">
        <v>84</v>
      </c>
      <c r="D85" s="87" t="s">
        <v>3</v>
      </c>
      <c r="E85" s="87"/>
      <c r="F85" s="85" t="s">
        <v>104</v>
      </c>
      <c r="G85" s="85"/>
      <c r="H85" s="85"/>
      <c r="I85" s="77">
        <f>J85+O85</f>
        <v>1974000000</v>
      </c>
      <c r="J85" s="77">
        <f>SUM(K85:N85)</f>
        <v>0</v>
      </c>
      <c r="K85" s="98"/>
      <c r="L85" s="98"/>
      <c r="M85" s="98"/>
      <c r="N85" s="98"/>
      <c r="O85" s="94">
        <f>SUM(P85:Q85)</f>
        <v>1974000000</v>
      </c>
      <c r="P85" s="98"/>
      <c r="Q85" s="75">
        <v>1974000000</v>
      </c>
      <c r="R85" s="75">
        <f>SUM(S85:V85)</f>
        <v>1448617800</v>
      </c>
      <c r="S85" s="75"/>
      <c r="T85" s="75">
        <f>SUM(T86:T87)</f>
        <v>1448617800</v>
      </c>
      <c r="U85" s="75"/>
      <c r="V85" s="75"/>
      <c r="W85" s="75">
        <f t="shared" si="12"/>
        <v>525382200</v>
      </c>
      <c r="X85" s="231"/>
      <c r="Y85" s="86">
        <f>O85-T85</f>
        <v>525382200</v>
      </c>
      <c r="Z85" s="231"/>
      <c r="AA85" s="75"/>
      <c r="AB85" s="15"/>
    </row>
    <row r="86" spans="1:28" s="11" customFormat="1" ht="22.5" customHeight="1" x14ac:dyDescent="0.25">
      <c r="A86" s="78"/>
      <c r="B86" s="78"/>
      <c r="C86" s="108"/>
      <c r="D86" s="108" t="s">
        <v>3</v>
      </c>
      <c r="E86" s="108">
        <v>6302</v>
      </c>
      <c r="F86" s="79" t="s">
        <v>136</v>
      </c>
      <c r="G86" s="79"/>
      <c r="H86" s="79"/>
      <c r="I86" s="80"/>
      <c r="J86" s="80"/>
      <c r="K86" s="99"/>
      <c r="L86" s="99"/>
      <c r="M86" s="99"/>
      <c r="N86" s="99"/>
      <c r="O86" s="90"/>
      <c r="P86" s="99"/>
      <c r="Q86" s="81"/>
      <c r="R86" s="81">
        <f>T86</f>
        <v>28801800</v>
      </c>
      <c r="S86" s="81"/>
      <c r="T86" s="81">
        <f>21165300+7636500</f>
        <v>28801800</v>
      </c>
      <c r="U86" s="81"/>
      <c r="V86" s="81"/>
      <c r="W86" s="75">
        <f t="shared" si="12"/>
        <v>0</v>
      </c>
      <c r="X86" s="78"/>
      <c r="Y86" s="86">
        <f>L208</f>
        <v>0</v>
      </c>
      <c r="Z86" s="78"/>
      <c r="AA86" s="81"/>
      <c r="AB86" s="14"/>
    </row>
    <row r="87" spans="1:28" s="11" customFormat="1" ht="24" customHeight="1" x14ac:dyDescent="0.25">
      <c r="A87" s="78"/>
      <c r="B87" s="78"/>
      <c r="C87" s="108"/>
      <c r="D87" s="108" t="s">
        <v>3</v>
      </c>
      <c r="E87" s="108">
        <v>6399</v>
      </c>
      <c r="F87" s="79" t="s">
        <v>135</v>
      </c>
      <c r="G87" s="79"/>
      <c r="H87" s="79"/>
      <c r="I87" s="80"/>
      <c r="J87" s="80"/>
      <c r="K87" s="99"/>
      <c r="L87" s="99"/>
      <c r="M87" s="99"/>
      <c r="N87" s="99"/>
      <c r="O87" s="90"/>
      <c r="P87" s="99"/>
      <c r="Q87" s="81"/>
      <c r="R87" s="81">
        <f>T87</f>
        <v>1419816000</v>
      </c>
      <c r="S87" s="81"/>
      <c r="T87" s="81">
        <f>915840000+335984000+167992000</f>
        <v>1419816000</v>
      </c>
      <c r="U87" s="81"/>
      <c r="V87" s="81"/>
      <c r="W87" s="75">
        <f t="shared" si="12"/>
        <v>0</v>
      </c>
      <c r="X87" s="78"/>
      <c r="Y87" s="86">
        <f>L209</f>
        <v>0</v>
      </c>
      <c r="Z87" s="78"/>
      <c r="AA87" s="81"/>
      <c r="AB87" s="14"/>
    </row>
    <row r="88" spans="1:28" s="18" customFormat="1" ht="36.75" customHeight="1" x14ac:dyDescent="0.25">
      <c r="A88" s="231">
        <v>7</v>
      </c>
      <c r="B88" s="231">
        <v>830</v>
      </c>
      <c r="C88" s="87">
        <v>340</v>
      </c>
      <c r="D88" s="231">
        <v>341</v>
      </c>
      <c r="E88" s="231"/>
      <c r="F88" s="85" t="s">
        <v>106</v>
      </c>
      <c r="G88" s="85"/>
      <c r="H88" s="85"/>
      <c r="I88" s="77">
        <f>J88+O88</f>
        <v>341000000</v>
      </c>
      <c r="J88" s="77">
        <f>SUM(K88:N88)</f>
        <v>0</v>
      </c>
      <c r="K88" s="98"/>
      <c r="L88" s="98"/>
      <c r="M88" s="98"/>
      <c r="N88" s="98"/>
      <c r="O88" s="94">
        <f>SUM(P88:Q88)</f>
        <v>341000000</v>
      </c>
      <c r="P88" s="98"/>
      <c r="Q88" s="75">
        <v>341000000</v>
      </c>
      <c r="R88" s="75">
        <f>SUBTOTAL(9,R89:R102)</f>
        <v>340974100</v>
      </c>
      <c r="S88" s="75">
        <f>SUBTOTAL(9,S89:S102)</f>
        <v>0</v>
      </c>
      <c r="T88" s="75">
        <f>SUBTOTAL(9,T89:T102)</f>
        <v>340974100</v>
      </c>
      <c r="U88" s="110"/>
      <c r="V88" s="110"/>
      <c r="W88" s="75">
        <f t="shared" si="12"/>
        <v>25900</v>
      </c>
      <c r="X88" s="231"/>
      <c r="Y88" s="86">
        <f>O88-R88</f>
        <v>25900</v>
      </c>
      <c r="Z88" s="231"/>
      <c r="AA88" s="75"/>
      <c r="AB88" s="17"/>
    </row>
    <row r="89" spans="1:28" s="13" customFormat="1" ht="27.75" customHeight="1" x14ac:dyDescent="0.25">
      <c r="A89" s="78"/>
      <c r="B89" s="78"/>
      <c r="C89" s="108"/>
      <c r="D89" s="78">
        <v>341</v>
      </c>
      <c r="E89" s="78">
        <v>6551</v>
      </c>
      <c r="F89" s="79" t="s">
        <v>148</v>
      </c>
      <c r="G89" s="79"/>
      <c r="H89" s="79"/>
      <c r="I89" s="80"/>
      <c r="J89" s="80"/>
      <c r="K89" s="99"/>
      <c r="L89" s="99"/>
      <c r="M89" s="99"/>
      <c r="N89" s="99"/>
      <c r="O89" s="90"/>
      <c r="P89" s="99"/>
      <c r="Q89" s="81"/>
      <c r="R89" s="81">
        <v>15500000</v>
      </c>
      <c r="S89" s="81"/>
      <c r="T89" s="81">
        <v>15500000</v>
      </c>
      <c r="U89" s="111"/>
      <c r="V89" s="111"/>
      <c r="W89" s="75">
        <f t="shared" si="12"/>
        <v>0</v>
      </c>
      <c r="X89" s="78"/>
      <c r="Y89" s="86">
        <f t="shared" ref="Y89:Y102" si="13">L211</f>
        <v>0</v>
      </c>
      <c r="Z89" s="78"/>
      <c r="AA89" s="81"/>
      <c r="AB89" s="12"/>
    </row>
    <row r="90" spans="1:28" s="13" customFormat="1" ht="19.5" customHeight="1" x14ac:dyDescent="0.25">
      <c r="A90" s="78"/>
      <c r="B90" s="78"/>
      <c r="C90" s="108"/>
      <c r="D90" s="78">
        <v>341</v>
      </c>
      <c r="E90" s="78">
        <v>6552</v>
      </c>
      <c r="F90" s="79" t="s">
        <v>150</v>
      </c>
      <c r="G90" s="79"/>
      <c r="H90" s="79"/>
      <c r="I90" s="80"/>
      <c r="J90" s="80"/>
      <c r="K90" s="99"/>
      <c r="L90" s="99"/>
      <c r="M90" s="99"/>
      <c r="N90" s="99"/>
      <c r="O90" s="90"/>
      <c r="P90" s="99"/>
      <c r="Q90" s="81"/>
      <c r="R90" s="81">
        <v>2203200</v>
      </c>
      <c r="S90" s="81"/>
      <c r="T90" s="81">
        <f>R90</f>
        <v>2203200</v>
      </c>
      <c r="U90" s="111"/>
      <c r="V90" s="111"/>
      <c r="W90" s="75">
        <f t="shared" si="12"/>
        <v>0</v>
      </c>
      <c r="X90" s="78"/>
      <c r="Y90" s="86">
        <f t="shared" si="13"/>
        <v>0</v>
      </c>
      <c r="Z90" s="78"/>
      <c r="AA90" s="81"/>
      <c r="AB90" s="12"/>
    </row>
    <row r="91" spans="1:28" s="18" customFormat="1" ht="26.25" customHeight="1" x14ac:dyDescent="0.25">
      <c r="A91" s="231"/>
      <c r="B91" s="231"/>
      <c r="C91" s="87"/>
      <c r="D91" s="78">
        <v>341</v>
      </c>
      <c r="E91" s="78">
        <v>6606</v>
      </c>
      <c r="F91" s="79" t="s">
        <v>153</v>
      </c>
      <c r="G91" s="79"/>
      <c r="H91" s="79"/>
      <c r="I91" s="80"/>
      <c r="J91" s="80"/>
      <c r="K91" s="90"/>
      <c r="L91" s="90"/>
      <c r="M91" s="90"/>
      <c r="N91" s="90"/>
      <c r="O91" s="90"/>
      <c r="P91" s="90"/>
      <c r="Q91" s="81"/>
      <c r="R91" s="81">
        <v>48578400</v>
      </c>
      <c r="S91" s="93"/>
      <c r="T91" s="81">
        <f>R91</f>
        <v>48578400</v>
      </c>
      <c r="U91" s="110"/>
      <c r="V91" s="110"/>
      <c r="W91" s="75">
        <f t="shared" si="12"/>
        <v>0</v>
      </c>
      <c r="X91" s="231"/>
      <c r="Y91" s="86">
        <f t="shared" si="13"/>
        <v>0</v>
      </c>
      <c r="Z91" s="231"/>
      <c r="AA91" s="75"/>
      <c r="AB91" s="17"/>
    </row>
    <row r="92" spans="1:28" s="36" customFormat="1" ht="27.75" customHeight="1" x14ac:dyDescent="0.25">
      <c r="A92" s="231"/>
      <c r="B92" s="231"/>
      <c r="C92" s="87"/>
      <c r="D92" s="78">
        <v>341</v>
      </c>
      <c r="E92" s="78">
        <v>7799</v>
      </c>
      <c r="F92" s="84" t="s">
        <v>182</v>
      </c>
      <c r="G92" s="84"/>
      <c r="H92" s="115"/>
      <c r="J92" s="92"/>
      <c r="R92" s="81">
        <v>49980000</v>
      </c>
      <c r="S92" s="81"/>
      <c r="T92" s="81">
        <f>R92</f>
        <v>49980000</v>
      </c>
      <c r="U92" s="110"/>
      <c r="V92" s="110"/>
      <c r="W92" s="75">
        <f t="shared" si="12"/>
        <v>0</v>
      </c>
      <c r="X92" s="231"/>
      <c r="Y92" s="86">
        <f t="shared" si="13"/>
        <v>0</v>
      </c>
      <c r="Z92" s="231"/>
      <c r="AA92" s="75"/>
      <c r="AB92" s="37"/>
    </row>
    <row r="93" spans="1:28" s="18" customFormat="1" ht="40.5" customHeight="1" x14ac:dyDescent="0.25">
      <c r="A93" s="231"/>
      <c r="B93" s="231"/>
      <c r="C93" s="87"/>
      <c r="D93" s="78">
        <v>341</v>
      </c>
      <c r="E93" s="78">
        <v>7799</v>
      </c>
      <c r="F93" s="79" t="s">
        <v>183</v>
      </c>
      <c r="G93" s="79"/>
      <c r="H93" s="79"/>
      <c r="I93" s="80"/>
      <c r="J93" s="80"/>
      <c r="K93" s="90"/>
      <c r="L93" s="90"/>
      <c r="M93" s="90"/>
      <c r="N93" s="90"/>
      <c r="O93" s="90"/>
      <c r="P93" s="90"/>
      <c r="Q93" s="81"/>
      <c r="R93" s="81">
        <v>36077700</v>
      </c>
      <c r="S93" s="93"/>
      <c r="T93" s="81">
        <f>R93</f>
        <v>36077700</v>
      </c>
      <c r="U93" s="110"/>
      <c r="V93" s="110"/>
      <c r="W93" s="75">
        <f t="shared" si="12"/>
        <v>0</v>
      </c>
      <c r="X93" s="231"/>
      <c r="Y93" s="86">
        <f t="shared" si="13"/>
        <v>0</v>
      </c>
      <c r="Z93" s="231"/>
      <c r="AA93" s="75"/>
      <c r="AB93" s="17"/>
    </row>
    <row r="94" spans="1:28" s="18" customFormat="1" ht="28.5" customHeight="1" x14ac:dyDescent="0.25">
      <c r="A94" s="231"/>
      <c r="B94" s="231"/>
      <c r="C94" s="87"/>
      <c r="D94" s="78">
        <v>341</v>
      </c>
      <c r="E94" s="78">
        <v>7799</v>
      </c>
      <c r="F94" s="79" t="s">
        <v>185</v>
      </c>
      <c r="G94" s="79"/>
      <c r="H94" s="79"/>
      <c r="I94" s="80"/>
      <c r="J94" s="80"/>
      <c r="K94" s="90"/>
      <c r="L94" s="90"/>
      <c r="M94" s="90"/>
      <c r="N94" s="90"/>
      <c r="O94" s="90"/>
      <c r="P94" s="90"/>
      <c r="Q94" s="81"/>
      <c r="R94" s="81">
        <v>8662500</v>
      </c>
      <c r="S94" s="93"/>
      <c r="T94" s="81">
        <f>R94</f>
        <v>8662500</v>
      </c>
      <c r="U94" s="110"/>
      <c r="V94" s="110"/>
      <c r="W94" s="75">
        <f t="shared" si="12"/>
        <v>0</v>
      </c>
      <c r="X94" s="231"/>
      <c r="Y94" s="86">
        <f t="shared" si="13"/>
        <v>0</v>
      </c>
      <c r="Z94" s="231"/>
      <c r="AA94" s="75"/>
      <c r="AB94" s="17"/>
    </row>
    <row r="95" spans="1:28" s="18" customFormat="1" ht="31.5" customHeight="1" x14ac:dyDescent="0.25">
      <c r="A95" s="231"/>
      <c r="B95" s="231"/>
      <c r="C95" s="87"/>
      <c r="D95" s="78">
        <v>341</v>
      </c>
      <c r="E95" s="78">
        <v>7799</v>
      </c>
      <c r="F95" s="79" t="s">
        <v>191</v>
      </c>
      <c r="G95" s="79"/>
      <c r="H95" s="79"/>
      <c r="I95" s="80"/>
      <c r="J95" s="80"/>
      <c r="K95" s="90"/>
      <c r="L95" s="90"/>
      <c r="M95" s="90"/>
      <c r="N95" s="90"/>
      <c r="O95" s="90"/>
      <c r="P95" s="90"/>
      <c r="Q95" s="81"/>
      <c r="R95" s="81">
        <v>998000</v>
      </c>
      <c r="S95" s="93"/>
      <c r="T95" s="81">
        <v>998000</v>
      </c>
      <c r="U95" s="110"/>
      <c r="V95" s="110"/>
      <c r="W95" s="75">
        <f t="shared" si="12"/>
        <v>0</v>
      </c>
      <c r="X95" s="231"/>
      <c r="Y95" s="86">
        <f t="shared" si="13"/>
        <v>0</v>
      </c>
      <c r="Z95" s="231"/>
      <c r="AA95" s="75"/>
      <c r="AB95" s="17"/>
    </row>
    <row r="96" spans="1:28" s="18" customFormat="1" ht="29.25" customHeight="1" x14ac:dyDescent="0.25">
      <c r="A96" s="231"/>
      <c r="B96" s="231"/>
      <c r="C96" s="87"/>
      <c r="D96" s="78">
        <v>341</v>
      </c>
      <c r="E96" s="78">
        <v>7799</v>
      </c>
      <c r="F96" s="79" t="s">
        <v>192</v>
      </c>
      <c r="G96" s="79"/>
      <c r="H96" s="79"/>
      <c r="I96" s="80"/>
      <c r="J96" s="80"/>
      <c r="K96" s="90"/>
      <c r="L96" s="90"/>
      <c r="M96" s="90"/>
      <c r="N96" s="90"/>
      <c r="O96" s="90"/>
      <c r="P96" s="90"/>
      <c r="Q96" s="81"/>
      <c r="R96" s="81">
        <v>3522940</v>
      </c>
      <c r="S96" s="93"/>
      <c r="T96" s="81">
        <v>3522940</v>
      </c>
      <c r="U96" s="110"/>
      <c r="V96" s="110"/>
      <c r="W96" s="75">
        <f t="shared" si="12"/>
        <v>0</v>
      </c>
      <c r="X96" s="231"/>
      <c r="Y96" s="86">
        <f t="shared" si="13"/>
        <v>0</v>
      </c>
      <c r="Z96" s="231"/>
      <c r="AA96" s="75"/>
      <c r="AB96" s="17"/>
    </row>
    <row r="97" spans="1:28" s="18" customFormat="1" ht="32.25" customHeight="1" x14ac:dyDescent="0.25">
      <c r="A97" s="231"/>
      <c r="B97" s="231"/>
      <c r="C97" s="87"/>
      <c r="D97" s="78">
        <v>341</v>
      </c>
      <c r="E97" s="78">
        <v>7799</v>
      </c>
      <c r="F97" s="79" t="s">
        <v>193</v>
      </c>
      <c r="G97" s="79"/>
      <c r="H97" s="79"/>
      <c r="I97" s="80"/>
      <c r="J97" s="80"/>
      <c r="K97" s="90"/>
      <c r="L97" s="90"/>
      <c r="M97" s="90"/>
      <c r="N97" s="90"/>
      <c r="O97" s="90"/>
      <c r="P97" s="90"/>
      <c r="Q97" s="81"/>
      <c r="R97" s="81">
        <v>1800000</v>
      </c>
      <c r="S97" s="93"/>
      <c r="T97" s="81">
        <v>1800000</v>
      </c>
      <c r="U97" s="110"/>
      <c r="V97" s="110"/>
      <c r="W97" s="75">
        <f t="shared" si="12"/>
        <v>0</v>
      </c>
      <c r="X97" s="231"/>
      <c r="Y97" s="86">
        <f t="shared" si="13"/>
        <v>0</v>
      </c>
      <c r="Z97" s="231"/>
      <c r="AA97" s="75"/>
      <c r="AB97" s="17"/>
    </row>
    <row r="98" spans="1:28" s="18" customFormat="1" ht="30.75" customHeight="1" x14ac:dyDescent="0.25">
      <c r="A98" s="231"/>
      <c r="B98" s="231"/>
      <c r="C98" s="87"/>
      <c r="D98" s="78">
        <v>341</v>
      </c>
      <c r="E98" s="78">
        <v>7799</v>
      </c>
      <c r="F98" s="79" t="s">
        <v>194</v>
      </c>
      <c r="G98" s="79"/>
      <c r="H98" s="79"/>
      <c r="I98" s="80"/>
      <c r="J98" s="80"/>
      <c r="K98" s="90"/>
      <c r="L98" s="90"/>
      <c r="M98" s="90"/>
      <c r="N98" s="90"/>
      <c r="O98" s="90"/>
      <c r="P98" s="90"/>
      <c r="Q98" s="81"/>
      <c r="R98" s="81">
        <v>26946000</v>
      </c>
      <c r="S98" s="93"/>
      <c r="T98" s="81">
        <v>26946000</v>
      </c>
      <c r="U98" s="110"/>
      <c r="V98" s="110"/>
      <c r="W98" s="75">
        <f t="shared" si="12"/>
        <v>0</v>
      </c>
      <c r="X98" s="231"/>
      <c r="Y98" s="86">
        <f t="shared" si="13"/>
        <v>0</v>
      </c>
      <c r="Z98" s="231"/>
      <c r="AA98" s="75"/>
      <c r="AB98" s="17"/>
    </row>
    <row r="99" spans="1:28" s="18" customFormat="1" ht="32.25" customHeight="1" x14ac:dyDescent="0.25">
      <c r="A99" s="231"/>
      <c r="B99" s="231"/>
      <c r="C99" s="87"/>
      <c r="D99" s="78">
        <v>341</v>
      </c>
      <c r="E99" s="78">
        <v>7799</v>
      </c>
      <c r="F99" s="79" t="s">
        <v>195</v>
      </c>
      <c r="G99" s="79"/>
      <c r="H99" s="79"/>
      <c r="I99" s="80"/>
      <c r="J99" s="80"/>
      <c r="K99" s="90"/>
      <c r="L99" s="90"/>
      <c r="M99" s="90"/>
      <c r="N99" s="90"/>
      <c r="O99" s="90"/>
      <c r="P99" s="90"/>
      <c r="Q99" s="81"/>
      <c r="R99" s="81">
        <v>44000000</v>
      </c>
      <c r="S99" s="93"/>
      <c r="T99" s="81">
        <v>44000000</v>
      </c>
      <c r="U99" s="110"/>
      <c r="V99" s="110"/>
      <c r="W99" s="75">
        <f t="shared" si="12"/>
        <v>0</v>
      </c>
      <c r="X99" s="231"/>
      <c r="Y99" s="86">
        <f t="shared" si="13"/>
        <v>0</v>
      </c>
      <c r="Z99" s="231"/>
      <c r="AA99" s="75"/>
      <c r="AB99" s="17"/>
    </row>
    <row r="100" spans="1:28" s="18" customFormat="1" ht="31.5" customHeight="1" x14ac:dyDescent="0.25">
      <c r="A100" s="231"/>
      <c r="B100" s="231"/>
      <c r="C100" s="87"/>
      <c r="D100" s="78">
        <v>341</v>
      </c>
      <c r="E100" s="78">
        <v>7799</v>
      </c>
      <c r="F100" s="79" t="s">
        <v>196</v>
      </c>
      <c r="G100" s="79"/>
      <c r="H100" s="79"/>
      <c r="I100" s="80"/>
      <c r="J100" s="80"/>
      <c r="K100" s="90"/>
      <c r="L100" s="90"/>
      <c r="M100" s="90"/>
      <c r="N100" s="90"/>
      <c r="O100" s="90"/>
      <c r="P100" s="90"/>
      <c r="Q100" s="81"/>
      <c r="R100" s="81">
        <v>45500000</v>
      </c>
      <c r="S100" s="93"/>
      <c r="T100" s="81">
        <v>45500000</v>
      </c>
      <c r="U100" s="110"/>
      <c r="V100" s="110"/>
      <c r="W100" s="75">
        <f t="shared" si="12"/>
        <v>0</v>
      </c>
      <c r="X100" s="231"/>
      <c r="Y100" s="86">
        <f t="shared" si="13"/>
        <v>0</v>
      </c>
      <c r="Z100" s="231"/>
      <c r="AA100" s="75"/>
      <c r="AB100" s="17"/>
    </row>
    <row r="101" spans="1:28" s="18" customFormat="1" ht="22.5" customHeight="1" x14ac:dyDescent="0.25">
      <c r="A101" s="231"/>
      <c r="B101" s="231"/>
      <c r="C101" s="87"/>
      <c r="D101" s="78">
        <v>341</v>
      </c>
      <c r="E101" s="78">
        <v>7799</v>
      </c>
      <c r="F101" s="84" t="s">
        <v>258</v>
      </c>
      <c r="G101" s="84"/>
      <c r="H101" s="84"/>
      <c r="I101" s="77"/>
      <c r="J101" s="77"/>
      <c r="K101" s="98"/>
      <c r="L101" s="98"/>
      <c r="M101" s="98"/>
      <c r="N101" s="98"/>
      <c r="O101" s="94"/>
      <c r="P101" s="98"/>
      <c r="Q101" s="75"/>
      <c r="R101" s="100">
        <v>47225360</v>
      </c>
      <c r="S101" s="191"/>
      <c r="T101" s="100">
        <v>47225360</v>
      </c>
      <c r="U101" s="110"/>
      <c r="V101" s="110"/>
      <c r="W101" s="75">
        <f t="shared" si="12"/>
        <v>0</v>
      </c>
      <c r="X101" s="231"/>
      <c r="Y101" s="86">
        <f t="shared" si="13"/>
        <v>0</v>
      </c>
      <c r="Z101" s="231"/>
      <c r="AA101" s="75"/>
      <c r="AB101" s="17"/>
    </row>
    <row r="102" spans="1:28" s="18" customFormat="1" ht="34.5" customHeight="1" x14ac:dyDescent="0.25">
      <c r="A102" s="231"/>
      <c r="B102" s="231"/>
      <c r="C102" s="87"/>
      <c r="D102" s="78">
        <v>341</v>
      </c>
      <c r="E102" s="78">
        <v>7799</v>
      </c>
      <c r="F102" s="95" t="s">
        <v>259</v>
      </c>
      <c r="G102" s="95"/>
      <c r="H102" s="248"/>
      <c r="I102" s="77"/>
      <c r="J102" s="77"/>
      <c r="K102" s="98"/>
      <c r="L102" s="98"/>
      <c r="M102" s="98"/>
      <c r="N102" s="98"/>
      <c r="O102" s="94"/>
      <c r="P102" s="98"/>
      <c r="Q102" s="75"/>
      <c r="R102" s="100">
        <v>9980000</v>
      </c>
      <c r="S102" s="191"/>
      <c r="T102" s="100">
        <f>R102</f>
        <v>9980000</v>
      </c>
      <c r="U102" s="110"/>
      <c r="V102" s="110"/>
      <c r="W102" s="75">
        <f t="shared" si="12"/>
        <v>0</v>
      </c>
      <c r="X102" s="231"/>
      <c r="Y102" s="86">
        <f t="shared" si="13"/>
        <v>0</v>
      </c>
      <c r="Z102" s="231"/>
      <c r="AA102" s="75"/>
      <c r="AB102" s="17"/>
    </row>
    <row r="103" spans="1:28" s="18" customFormat="1" ht="30.75" customHeight="1" x14ac:dyDescent="0.25">
      <c r="A103" s="231">
        <v>8</v>
      </c>
      <c r="B103" s="231">
        <v>830</v>
      </c>
      <c r="C103" s="87">
        <v>340</v>
      </c>
      <c r="D103" s="231">
        <v>341</v>
      </c>
      <c r="E103" s="231"/>
      <c r="F103" s="76" t="s">
        <v>107</v>
      </c>
      <c r="G103" s="76"/>
      <c r="H103" s="76"/>
      <c r="I103" s="77">
        <f>J103+O103</f>
        <v>54790000</v>
      </c>
      <c r="J103" s="77">
        <f>SUM(K103:N103)</f>
        <v>0</v>
      </c>
      <c r="K103" s="98"/>
      <c r="L103" s="98"/>
      <c r="M103" s="98"/>
      <c r="N103" s="98"/>
      <c r="O103" s="94">
        <f>SUM(P103:Q103)</f>
        <v>54790000</v>
      </c>
      <c r="P103" s="98"/>
      <c r="Q103" s="75">
        <v>54790000</v>
      </c>
      <c r="R103" s="75">
        <f>O103</f>
        <v>54790000</v>
      </c>
      <c r="S103" s="185"/>
      <c r="T103" s="75">
        <f>R103</f>
        <v>54790000</v>
      </c>
      <c r="U103" s="110"/>
      <c r="V103" s="110"/>
      <c r="W103" s="75">
        <f t="shared" si="12"/>
        <v>0</v>
      </c>
      <c r="X103" s="231"/>
      <c r="Y103" s="86">
        <f>O103-R103</f>
        <v>0</v>
      </c>
      <c r="Z103" s="231"/>
      <c r="AA103" s="75"/>
      <c r="AB103" s="17"/>
    </row>
    <row r="104" spans="1:28" s="18" customFormat="1" ht="29.25" customHeight="1" x14ac:dyDescent="0.25">
      <c r="A104" s="231"/>
      <c r="B104" s="231"/>
      <c r="C104" s="87"/>
      <c r="D104" s="231">
        <v>341</v>
      </c>
      <c r="E104" s="231">
        <v>6551</v>
      </c>
      <c r="F104" s="79" t="s">
        <v>149</v>
      </c>
      <c r="G104" s="79"/>
      <c r="H104" s="79"/>
      <c r="I104" s="77"/>
      <c r="J104" s="77"/>
      <c r="K104" s="98"/>
      <c r="L104" s="98"/>
      <c r="M104" s="98"/>
      <c r="N104" s="98"/>
      <c r="O104" s="94"/>
      <c r="P104" s="98"/>
      <c r="Q104" s="75"/>
      <c r="R104" s="81">
        <v>120000</v>
      </c>
      <c r="S104" s="93"/>
      <c r="T104" s="81">
        <v>120000</v>
      </c>
      <c r="U104" s="110"/>
      <c r="V104" s="110"/>
      <c r="W104" s="75">
        <f t="shared" si="12"/>
        <v>0</v>
      </c>
      <c r="X104" s="231"/>
      <c r="Y104" s="86">
        <f t="shared" ref="Y104:Y112" si="14">L226</f>
        <v>0</v>
      </c>
      <c r="Z104" s="231"/>
      <c r="AA104" s="75"/>
      <c r="AB104" s="17"/>
    </row>
    <row r="105" spans="1:28" s="18" customFormat="1" ht="21.75" customHeight="1" x14ac:dyDescent="0.25">
      <c r="A105" s="231"/>
      <c r="B105" s="231"/>
      <c r="C105" s="87"/>
      <c r="D105" s="231">
        <v>341</v>
      </c>
      <c r="E105" s="231">
        <v>7049</v>
      </c>
      <c r="F105" s="79" t="s">
        <v>179</v>
      </c>
      <c r="G105" s="79"/>
      <c r="H105" s="79"/>
      <c r="I105" s="77"/>
      <c r="J105" s="77"/>
      <c r="K105" s="98"/>
      <c r="L105" s="98"/>
      <c r="M105" s="98"/>
      <c r="N105" s="98"/>
      <c r="O105" s="94"/>
      <c r="P105" s="98"/>
      <c r="Q105" s="75"/>
      <c r="R105" s="81">
        <f>R103-R104</f>
        <v>54670000</v>
      </c>
      <c r="S105" s="81">
        <f>S103-S104</f>
        <v>0</v>
      </c>
      <c r="T105" s="81">
        <f>T103-T104</f>
        <v>54670000</v>
      </c>
      <c r="U105" s="110"/>
      <c r="V105" s="110"/>
      <c r="W105" s="75">
        <f t="shared" si="12"/>
        <v>0</v>
      </c>
      <c r="X105" s="231"/>
      <c r="Y105" s="86">
        <f t="shared" si="14"/>
        <v>0</v>
      </c>
      <c r="Z105" s="231"/>
      <c r="AA105" s="75"/>
      <c r="AB105" s="17"/>
    </row>
    <row r="106" spans="1:28" s="18" customFormat="1" ht="40.5" customHeight="1" x14ac:dyDescent="0.25">
      <c r="A106" s="231">
        <v>9</v>
      </c>
      <c r="B106" s="231">
        <v>830</v>
      </c>
      <c r="C106" s="87">
        <v>340</v>
      </c>
      <c r="D106" s="231">
        <v>341</v>
      </c>
      <c r="E106" s="231">
        <v>8006</v>
      </c>
      <c r="F106" s="76" t="s">
        <v>110</v>
      </c>
      <c r="G106" s="76"/>
      <c r="H106" s="76"/>
      <c r="I106" s="77">
        <f>J106+O106</f>
        <v>2716950600</v>
      </c>
      <c r="J106" s="77">
        <f>SUM(K106:N106)</f>
        <v>0</v>
      </c>
      <c r="K106" s="98"/>
      <c r="L106" s="94"/>
      <c r="M106" s="94"/>
      <c r="N106" s="94"/>
      <c r="O106" s="94">
        <f>SUM(P106:Q106)</f>
        <v>2716950600</v>
      </c>
      <c r="P106" s="94"/>
      <c r="Q106" s="75">
        <v>2716950600</v>
      </c>
      <c r="R106" s="75">
        <f>O106</f>
        <v>2716950600</v>
      </c>
      <c r="S106" s="75"/>
      <c r="T106" s="75">
        <f>Q106</f>
        <v>2716950600</v>
      </c>
      <c r="U106" s="110"/>
      <c r="V106" s="110"/>
      <c r="W106" s="75">
        <f t="shared" si="12"/>
        <v>0</v>
      </c>
      <c r="X106" s="231"/>
      <c r="Y106" s="86">
        <f t="shared" si="14"/>
        <v>0</v>
      </c>
      <c r="Z106" s="231"/>
      <c r="AA106" s="75"/>
      <c r="AB106" s="17"/>
    </row>
    <row r="107" spans="1:28" s="16" customFormat="1" ht="32.25" customHeight="1" x14ac:dyDescent="0.25">
      <c r="A107" s="231">
        <v>10</v>
      </c>
      <c r="B107" s="231">
        <v>830</v>
      </c>
      <c r="C107" s="87">
        <v>340</v>
      </c>
      <c r="D107" s="231">
        <v>341</v>
      </c>
      <c r="E107" s="231"/>
      <c r="F107" s="76" t="s">
        <v>111</v>
      </c>
      <c r="G107" s="76"/>
      <c r="H107" s="76"/>
      <c r="I107" s="77">
        <f>J107+O107</f>
        <v>365000000</v>
      </c>
      <c r="J107" s="77">
        <f>SUM(K107:N107)</f>
        <v>0</v>
      </c>
      <c r="K107" s="98"/>
      <c r="L107" s="94"/>
      <c r="M107" s="94"/>
      <c r="N107" s="94"/>
      <c r="O107" s="94">
        <f>SUM(P107:Q107)</f>
        <v>365000000</v>
      </c>
      <c r="P107" s="94">
        <v>365000000</v>
      </c>
      <c r="Q107" s="75"/>
      <c r="R107" s="75">
        <f>SUBTOTAL(9,R108:R112)</f>
        <v>352698110</v>
      </c>
      <c r="S107" s="75">
        <f>SUBTOTAL(9,S108:S112)</f>
        <v>352698110</v>
      </c>
      <c r="T107" s="92"/>
      <c r="U107" s="75"/>
      <c r="V107" s="75"/>
      <c r="W107" s="75">
        <f>X107</f>
        <v>12301890</v>
      </c>
      <c r="X107" s="86">
        <f>P107-S107</f>
        <v>12301890</v>
      </c>
      <c r="Y107" s="86">
        <f t="shared" si="14"/>
        <v>0</v>
      </c>
      <c r="Z107" s="231"/>
      <c r="AA107" s="75"/>
      <c r="AB107" s="15"/>
    </row>
    <row r="108" spans="1:28" s="11" customFormat="1" ht="17.25" customHeight="1" x14ac:dyDescent="0.25">
      <c r="A108" s="78"/>
      <c r="B108" s="78"/>
      <c r="C108" s="108"/>
      <c r="D108" s="78">
        <v>341</v>
      </c>
      <c r="E108" s="78">
        <v>6501</v>
      </c>
      <c r="F108" s="84" t="s">
        <v>232</v>
      </c>
      <c r="G108" s="84"/>
      <c r="H108" s="84"/>
      <c r="I108" s="80"/>
      <c r="J108" s="80"/>
      <c r="K108" s="99"/>
      <c r="L108" s="90"/>
      <c r="M108" s="90"/>
      <c r="N108" s="90"/>
      <c r="O108" s="90"/>
      <c r="P108" s="90"/>
      <c r="Q108" s="81"/>
      <c r="R108" s="81">
        <f>S108</f>
        <v>302866437</v>
      </c>
      <c r="S108" s="81">
        <f>138720664+51038618+61241533+51865622</f>
        <v>302866437</v>
      </c>
      <c r="T108" s="91"/>
      <c r="U108" s="81"/>
      <c r="V108" s="81"/>
      <c r="W108" s="75">
        <f t="shared" si="12"/>
        <v>0</v>
      </c>
      <c r="X108" s="83"/>
      <c r="Y108" s="86">
        <f t="shared" si="14"/>
        <v>0</v>
      </c>
      <c r="Z108" s="78"/>
      <c r="AA108" s="81"/>
      <c r="AB108" s="14"/>
    </row>
    <row r="109" spans="1:28" s="11" customFormat="1" ht="21.75" customHeight="1" x14ac:dyDescent="0.25">
      <c r="A109" s="78"/>
      <c r="B109" s="78"/>
      <c r="C109" s="108"/>
      <c r="D109" s="78">
        <v>341</v>
      </c>
      <c r="E109" s="78">
        <v>6502</v>
      </c>
      <c r="F109" s="84" t="s">
        <v>233</v>
      </c>
      <c r="G109" s="84"/>
      <c r="H109" s="84"/>
      <c r="I109" s="80"/>
      <c r="J109" s="80"/>
      <c r="K109" s="99"/>
      <c r="L109" s="90"/>
      <c r="M109" s="90"/>
      <c r="N109" s="90"/>
      <c r="O109" s="90"/>
      <c r="P109" s="90"/>
      <c r="Q109" s="192"/>
      <c r="R109" s="81">
        <f>16833750+5517815+3996250+3565000</f>
        <v>29912815</v>
      </c>
      <c r="S109" s="81">
        <f>R109</f>
        <v>29912815</v>
      </c>
      <c r="T109" s="91"/>
      <c r="U109" s="81"/>
      <c r="V109" s="81"/>
      <c r="W109" s="75">
        <f t="shared" si="12"/>
        <v>0</v>
      </c>
      <c r="X109" s="83"/>
      <c r="Y109" s="86">
        <f t="shared" si="14"/>
        <v>0</v>
      </c>
      <c r="Z109" s="78"/>
      <c r="AA109" s="81"/>
      <c r="AB109" s="14"/>
    </row>
    <row r="110" spans="1:28" s="11" customFormat="1" ht="20.25" customHeight="1" x14ac:dyDescent="0.25">
      <c r="A110" s="78"/>
      <c r="B110" s="78"/>
      <c r="C110" s="108"/>
      <c r="D110" s="78">
        <v>341</v>
      </c>
      <c r="E110" s="78">
        <v>6603</v>
      </c>
      <c r="F110" s="84" t="s">
        <v>263</v>
      </c>
      <c r="G110" s="84"/>
      <c r="H110" s="84"/>
      <c r="I110" s="80"/>
      <c r="J110" s="80"/>
      <c r="K110" s="99"/>
      <c r="L110" s="90"/>
      <c r="M110" s="90"/>
      <c r="N110" s="90"/>
      <c r="O110" s="90"/>
      <c r="P110" s="90"/>
      <c r="Q110" s="81"/>
      <c r="R110" s="81">
        <f>492750+6203704</f>
        <v>6696454</v>
      </c>
      <c r="S110" s="81">
        <f>R110</f>
        <v>6696454</v>
      </c>
      <c r="T110" s="91"/>
      <c r="U110" s="81"/>
      <c r="V110" s="81"/>
      <c r="W110" s="75">
        <f t="shared" si="12"/>
        <v>0</v>
      </c>
      <c r="X110" s="83"/>
      <c r="Y110" s="86">
        <f t="shared" si="14"/>
        <v>0</v>
      </c>
      <c r="Z110" s="78"/>
      <c r="AA110" s="81"/>
      <c r="AB110" s="14"/>
    </row>
    <row r="111" spans="1:28" s="11" customFormat="1" ht="24" customHeight="1" x14ac:dyDescent="0.25">
      <c r="A111" s="78"/>
      <c r="B111" s="78"/>
      <c r="C111" s="108"/>
      <c r="D111" s="78">
        <v>341</v>
      </c>
      <c r="E111" s="78">
        <v>6754</v>
      </c>
      <c r="F111" s="84" t="s">
        <v>238</v>
      </c>
      <c r="G111" s="84"/>
      <c r="H111" s="84"/>
      <c r="I111" s="80"/>
      <c r="J111" s="80"/>
      <c r="K111" s="99"/>
      <c r="L111" s="90"/>
      <c r="M111" s="90"/>
      <c r="N111" s="90"/>
      <c r="O111" s="90"/>
      <c r="P111" s="90"/>
      <c r="Q111" s="81"/>
      <c r="R111" s="81">
        <f>16160688-13424292+5068008+2268000</f>
        <v>10072404</v>
      </c>
      <c r="S111" s="81">
        <f>R111</f>
        <v>10072404</v>
      </c>
      <c r="T111" s="91"/>
      <c r="U111" s="81"/>
      <c r="V111" s="81"/>
      <c r="W111" s="75">
        <f t="shared" si="12"/>
        <v>0</v>
      </c>
      <c r="X111" s="83"/>
      <c r="Y111" s="86">
        <f t="shared" si="14"/>
        <v>0</v>
      </c>
      <c r="Z111" s="78"/>
      <c r="AA111" s="81"/>
      <c r="AB111" s="14"/>
    </row>
    <row r="112" spans="1:28" s="11" customFormat="1" ht="24" customHeight="1" x14ac:dyDescent="0.25">
      <c r="A112" s="78"/>
      <c r="B112" s="78"/>
      <c r="C112" s="108"/>
      <c r="D112" s="78">
        <v>341</v>
      </c>
      <c r="E112" s="78">
        <v>7001</v>
      </c>
      <c r="F112" s="84" t="s">
        <v>281</v>
      </c>
      <c r="G112" s="84"/>
      <c r="H112" s="84"/>
      <c r="I112" s="80"/>
      <c r="J112" s="80"/>
      <c r="K112" s="99"/>
      <c r="L112" s="90"/>
      <c r="M112" s="90"/>
      <c r="N112" s="90"/>
      <c r="O112" s="90"/>
      <c r="P112" s="90"/>
      <c r="Q112" s="81"/>
      <c r="R112" s="81">
        <f>S112</f>
        <v>3150000</v>
      </c>
      <c r="S112" s="81">
        <v>3150000</v>
      </c>
      <c r="T112" s="91"/>
      <c r="U112" s="81"/>
      <c r="V112" s="81"/>
      <c r="W112" s="75">
        <f t="shared" si="12"/>
        <v>0</v>
      </c>
      <c r="X112" s="83"/>
      <c r="Y112" s="86">
        <f t="shared" si="14"/>
        <v>0</v>
      </c>
      <c r="Z112" s="78"/>
      <c r="AA112" s="81"/>
      <c r="AB112" s="14"/>
    </row>
    <row r="113" spans="1:29" s="18" customFormat="1" ht="29.25" customHeight="1" x14ac:dyDescent="0.25">
      <c r="A113" s="231">
        <v>11</v>
      </c>
      <c r="B113" s="231">
        <v>830</v>
      </c>
      <c r="C113" s="87">
        <v>340</v>
      </c>
      <c r="D113" s="231">
        <v>341</v>
      </c>
      <c r="E113" s="231"/>
      <c r="F113" s="76" t="s">
        <v>13</v>
      </c>
      <c r="G113" s="76"/>
      <c r="H113" s="76"/>
      <c r="I113" s="77">
        <f>J113+O113</f>
        <v>642240000</v>
      </c>
      <c r="J113" s="77">
        <f>SUM(K113:N113)</f>
        <v>0</v>
      </c>
      <c r="K113" s="98"/>
      <c r="L113" s="113"/>
      <c r="M113" s="113"/>
      <c r="N113" s="113"/>
      <c r="O113" s="94">
        <f>SUM(P113:Q113)</f>
        <v>642240000</v>
      </c>
      <c r="P113" s="113"/>
      <c r="Q113" s="75">
        <v>642240000</v>
      </c>
      <c r="R113" s="75">
        <f>R114</f>
        <v>407436010</v>
      </c>
      <c r="S113" s="74"/>
      <c r="T113" s="75">
        <f>T114</f>
        <v>407436010</v>
      </c>
      <c r="U113" s="110"/>
      <c r="V113" s="110"/>
      <c r="W113" s="75">
        <f t="shared" si="12"/>
        <v>234803990</v>
      </c>
      <c r="X113" s="231"/>
      <c r="Y113" s="86">
        <f>Q113-R113</f>
        <v>234803990</v>
      </c>
      <c r="Z113" s="231"/>
      <c r="AA113" s="75"/>
      <c r="AB113" s="17"/>
    </row>
    <row r="114" spans="1:29" s="13" customFormat="1" ht="18" customHeight="1" x14ac:dyDescent="0.25">
      <c r="A114" s="78"/>
      <c r="B114" s="78"/>
      <c r="C114" s="108"/>
      <c r="D114" s="78">
        <v>341</v>
      </c>
      <c r="E114" s="78">
        <v>7049</v>
      </c>
      <c r="F114" s="84" t="s">
        <v>178</v>
      </c>
      <c r="G114" s="84"/>
      <c r="H114" s="84"/>
      <c r="I114" s="80"/>
      <c r="J114" s="80"/>
      <c r="K114" s="99"/>
      <c r="L114" s="109"/>
      <c r="M114" s="109"/>
      <c r="N114" s="109"/>
      <c r="O114" s="90"/>
      <c r="P114" s="109"/>
      <c r="Q114" s="81"/>
      <c r="R114" s="81">
        <f>192484170+40320000+8820000+35784000+3727500+6000000+2984400+29141600+7200000+5790000+1800000+2250000+12974000+16900000+16866200+7156800+12600000+4637340</f>
        <v>407436010</v>
      </c>
      <c r="S114" s="82"/>
      <c r="T114" s="81">
        <f>R114</f>
        <v>407436010</v>
      </c>
      <c r="U114" s="111"/>
      <c r="V114" s="111"/>
      <c r="W114" s="75">
        <f t="shared" si="12"/>
        <v>0</v>
      </c>
      <c r="X114" s="78"/>
      <c r="Y114" s="86">
        <f>L236</f>
        <v>0</v>
      </c>
      <c r="Z114" s="78"/>
      <c r="AA114" s="81"/>
      <c r="AB114" s="12"/>
    </row>
    <row r="115" spans="1:29" s="18" customFormat="1" ht="33" customHeight="1" x14ac:dyDescent="0.25">
      <c r="A115" s="92">
        <v>12</v>
      </c>
      <c r="B115" s="231">
        <v>830</v>
      </c>
      <c r="C115" s="87">
        <v>340</v>
      </c>
      <c r="D115" s="231">
        <v>341</v>
      </c>
      <c r="E115" s="231"/>
      <c r="F115" s="76" t="s">
        <v>121</v>
      </c>
      <c r="G115" s="76"/>
      <c r="H115" s="76"/>
      <c r="I115" s="77">
        <f>J115+O115</f>
        <v>97848000</v>
      </c>
      <c r="J115" s="77">
        <f>SUM(K115:N115)</f>
        <v>0</v>
      </c>
      <c r="K115" s="98"/>
      <c r="L115" s="113"/>
      <c r="M115" s="113"/>
      <c r="N115" s="113"/>
      <c r="O115" s="94">
        <f>SUM(P115:Q115)</f>
        <v>97848000</v>
      </c>
      <c r="P115" s="113"/>
      <c r="Q115" s="75">
        <v>97848000</v>
      </c>
      <c r="R115" s="75">
        <f>O115</f>
        <v>97848000</v>
      </c>
      <c r="S115" s="74"/>
      <c r="T115" s="75">
        <f>R115</f>
        <v>97848000</v>
      </c>
      <c r="U115" s="110"/>
      <c r="V115" s="110"/>
      <c r="W115" s="75">
        <f t="shared" si="12"/>
        <v>0</v>
      </c>
      <c r="X115" s="231"/>
      <c r="Y115" s="86">
        <f>O115-T115</f>
        <v>0</v>
      </c>
      <c r="Z115" s="231"/>
      <c r="AA115" s="75"/>
      <c r="AB115" s="17"/>
    </row>
    <row r="116" spans="1:29" s="13" customFormat="1" ht="25.5" customHeight="1" x14ac:dyDescent="0.25">
      <c r="A116" s="91"/>
      <c r="B116" s="78"/>
      <c r="C116" s="108"/>
      <c r="D116" s="78">
        <v>341</v>
      </c>
      <c r="E116" s="78">
        <v>6955</v>
      </c>
      <c r="F116" s="84" t="s">
        <v>176</v>
      </c>
      <c r="G116" s="84"/>
      <c r="H116" s="84"/>
      <c r="I116" s="80"/>
      <c r="J116" s="80"/>
      <c r="K116" s="99"/>
      <c r="L116" s="109"/>
      <c r="M116" s="109"/>
      <c r="N116" s="109"/>
      <c r="O116" s="90"/>
      <c r="P116" s="109"/>
      <c r="Q116" s="81"/>
      <c r="R116" s="81">
        <f>R115</f>
        <v>97848000</v>
      </c>
      <c r="S116" s="82"/>
      <c r="T116" s="81">
        <f>T115</f>
        <v>97848000</v>
      </c>
      <c r="U116" s="111"/>
      <c r="V116" s="111"/>
      <c r="W116" s="75">
        <f t="shared" si="12"/>
        <v>0</v>
      </c>
      <c r="X116" s="78"/>
      <c r="Y116" s="86">
        <f>L238</f>
        <v>0</v>
      </c>
      <c r="Z116" s="78"/>
      <c r="AA116" s="81"/>
      <c r="AB116" s="12"/>
    </row>
    <row r="117" spans="1:29" s="18" customFormat="1" ht="28.5" customHeight="1" x14ac:dyDescent="0.25">
      <c r="A117" s="92">
        <v>13</v>
      </c>
      <c r="B117" s="231">
        <v>830</v>
      </c>
      <c r="C117" s="87">
        <v>340</v>
      </c>
      <c r="D117" s="231">
        <v>341</v>
      </c>
      <c r="E117" s="231"/>
      <c r="F117" s="76" t="s">
        <v>122</v>
      </c>
      <c r="G117" s="76"/>
      <c r="H117" s="76"/>
      <c r="I117" s="77">
        <f>J117+O117</f>
        <v>48697200</v>
      </c>
      <c r="J117" s="77">
        <f>SUM(K117:N117)</f>
        <v>0</v>
      </c>
      <c r="K117" s="98"/>
      <c r="L117" s="113"/>
      <c r="M117" s="113"/>
      <c r="N117" s="113"/>
      <c r="O117" s="94">
        <f>SUM(P117:Q117)</f>
        <v>48697200</v>
      </c>
      <c r="P117" s="113"/>
      <c r="Q117" s="75">
        <v>48697200</v>
      </c>
      <c r="R117" s="75">
        <f>Q117</f>
        <v>48697200</v>
      </c>
      <c r="S117" s="74"/>
      <c r="T117" s="75">
        <f>R117</f>
        <v>48697200</v>
      </c>
      <c r="U117" s="110"/>
      <c r="V117" s="110"/>
      <c r="W117" s="75">
        <f t="shared" si="12"/>
        <v>0</v>
      </c>
      <c r="X117" s="231"/>
      <c r="Y117" s="86">
        <f>L239</f>
        <v>0</v>
      </c>
      <c r="Z117" s="231"/>
      <c r="AA117" s="75"/>
      <c r="AB117" s="17"/>
    </row>
    <row r="118" spans="1:29" s="38" customFormat="1" ht="30.75" customHeight="1" x14ac:dyDescent="0.25">
      <c r="A118" s="78"/>
      <c r="B118" s="84"/>
      <c r="C118" s="81"/>
      <c r="D118" s="81">
        <v>341</v>
      </c>
      <c r="E118" s="93" t="s">
        <v>175</v>
      </c>
      <c r="F118" s="116" t="s">
        <v>174</v>
      </c>
      <c r="G118" s="116"/>
      <c r="H118" s="117"/>
      <c r="I118" s="81"/>
      <c r="J118" s="81"/>
      <c r="K118" s="81"/>
      <c r="L118" s="78"/>
      <c r="M118" s="81"/>
      <c r="N118" s="78"/>
      <c r="O118" s="78"/>
      <c r="P118" s="78"/>
      <c r="Q118" s="81"/>
      <c r="R118" s="83">
        <f>R117</f>
        <v>48697200</v>
      </c>
      <c r="S118" s="78"/>
      <c r="T118" s="83">
        <f>R118</f>
        <v>48697200</v>
      </c>
      <c r="U118" s="78"/>
      <c r="V118" s="78"/>
      <c r="W118" s="75">
        <f t="shared" si="12"/>
        <v>0</v>
      </c>
      <c r="X118" s="78"/>
      <c r="Y118" s="86">
        <f>L240</f>
        <v>0</v>
      </c>
      <c r="Z118" s="78"/>
      <c r="AA118" s="78"/>
    </row>
    <row r="119" spans="1:29" s="184" customFormat="1" ht="30.75" customHeight="1" x14ac:dyDescent="0.25">
      <c r="A119" s="196">
        <v>14</v>
      </c>
      <c r="B119" s="196">
        <v>830</v>
      </c>
      <c r="C119" s="196">
        <v>280</v>
      </c>
      <c r="D119" s="196">
        <v>283</v>
      </c>
      <c r="E119" s="196"/>
      <c r="F119" s="197" t="s">
        <v>129</v>
      </c>
      <c r="G119" s="197"/>
      <c r="H119" s="198">
        <v>13164000</v>
      </c>
      <c r="I119" s="196"/>
      <c r="J119" s="77">
        <f>K119+R119</f>
        <v>0</v>
      </c>
      <c r="K119" s="77">
        <f>SUM(L119:Q119)</f>
        <v>0</v>
      </c>
      <c r="L119" s="196"/>
      <c r="M119" s="196"/>
      <c r="N119" s="196"/>
      <c r="O119" s="196"/>
      <c r="P119" s="196"/>
      <c r="Q119" s="196"/>
      <c r="R119" s="198"/>
      <c r="S119" s="196"/>
      <c r="T119" s="196"/>
      <c r="U119" s="196"/>
      <c r="V119" s="196"/>
      <c r="W119" s="75">
        <f>X119</f>
        <v>13164000</v>
      </c>
      <c r="X119" s="199">
        <f>H119</f>
        <v>13164000</v>
      </c>
      <c r="Y119" s="86">
        <f>L241</f>
        <v>0</v>
      </c>
      <c r="Z119" s="196"/>
      <c r="AA119" s="196"/>
      <c r="AB119" s="196"/>
      <c r="AC119" s="196"/>
    </row>
    <row r="120" spans="1:29" s="184" customFormat="1" ht="30.75" customHeight="1" x14ac:dyDescent="0.25">
      <c r="A120" s="196">
        <v>15</v>
      </c>
      <c r="B120" s="196">
        <v>830</v>
      </c>
      <c r="C120" s="196">
        <v>280</v>
      </c>
      <c r="D120" s="196">
        <v>292</v>
      </c>
      <c r="E120" s="196"/>
      <c r="F120" s="200" t="s">
        <v>130</v>
      </c>
      <c r="G120" s="200"/>
      <c r="H120" s="198">
        <v>5699000</v>
      </c>
      <c r="I120" s="196"/>
      <c r="J120" s="77">
        <f>K120+R120</f>
        <v>0</v>
      </c>
      <c r="K120" s="77">
        <f>SUM(L120:Q120)</f>
        <v>0</v>
      </c>
      <c r="L120" s="196"/>
      <c r="M120" s="196"/>
      <c r="N120" s="196"/>
      <c r="O120" s="196"/>
      <c r="P120" s="196"/>
      <c r="Q120" s="196"/>
      <c r="R120" s="198"/>
      <c r="S120" s="196"/>
      <c r="T120" s="196"/>
      <c r="U120" s="196"/>
      <c r="V120" s="196"/>
      <c r="W120" s="75">
        <f t="shared" si="12"/>
        <v>5699000</v>
      </c>
      <c r="X120" s="198"/>
      <c r="Y120" s="86">
        <f>H120</f>
        <v>5699000</v>
      </c>
      <c r="Z120" s="196"/>
      <c r="AA120" s="196"/>
      <c r="AB120" s="196"/>
      <c r="AC120" s="196"/>
    </row>
    <row r="121" spans="1:29" s="184" customFormat="1" ht="30.75" customHeight="1" x14ac:dyDescent="0.25">
      <c r="A121" s="196">
        <v>16</v>
      </c>
      <c r="B121" s="196">
        <v>830</v>
      </c>
      <c r="C121" s="196">
        <v>280</v>
      </c>
      <c r="D121" s="196">
        <v>312</v>
      </c>
      <c r="E121" s="196"/>
      <c r="F121" s="200" t="s">
        <v>128</v>
      </c>
      <c r="G121" s="200"/>
      <c r="H121" s="198">
        <v>20105000</v>
      </c>
      <c r="I121" s="196"/>
      <c r="J121" s="77">
        <f>K121+R121</f>
        <v>0</v>
      </c>
      <c r="K121" s="77">
        <f>SUM(L121:Q121)</f>
        <v>0</v>
      </c>
      <c r="L121" s="196"/>
      <c r="M121" s="196"/>
      <c r="N121" s="196"/>
      <c r="O121" s="196"/>
      <c r="P121" s="196"/>
      <c r="Q121" s="196"/>
      <c r="R121" s="198"/>
      <c r="S121" s="196"/>
      <c r="T121" s="196"/>
      <c r="U121" s="196"/>
      <c r="V121" s="196"/>
      <c r="W121" s="75">
        <f t="shared" si="12"/>
        <v>20105000</v>
      </c>
      <c r="X121" s="196"/>
      <c r="Y121" s="86">
        <f>H121</f>
        <v>20105000</v>
      </c>
      <c r="Z121" s="196"/>
      <c r="AA121" s="196"/>
      <c r="AB121" s="196"/>
      <c r="AC121" s="196"/>
    </row>
    <row r="122" spans="1:29" s="24" customFormat="1" ht="23.25" customHeight="1" x14ac:dyDescent="0.25">
      <c r="A122" s="231">
        <v>17</v>
      </c>
      <c r="B122" s="231">
        <v>830</v>
      </c>
      <c r="C122" s="231">
        <v>250</v>
      </c>
      <c r="D122" s="231">
        <v>261</v>
      </c>
      <c r="E122" s="231"/>
      <c r="F122" s="85" t="str">
        <f>'[2]DT CHI 2026'!$B$72</f>
        <v xml:space="preserve">Sự nghiệp bảo vệ môi trường </v>
      </c>
      <c r="G122" s="85"/>
      <c r="H122" s="85"/>
      <c r="I122" s="77">
        <f t="shared" ref="I122:AA122" si="15">SUM(I123:I124)</f>
        <v>1640000000</v>
      </c>
      <c r="J122" s="77">
        <f t="shared" si="15"/>
        <v>1640000000</v>
      </c>
      <c r="K122" s="77">
        <f t="shared" si="15"/>
        <v>0</v>
      </c>
      <c r="L122" s="77">
        <f>SUM(L123:L124)</f>
        <v>1640000000</v>
      </c>
      <c r="M122" s="77">
        <f t="shared" si="15"/>
        <v>0</v>
      </c>
      <c r="N122" s="77">
        <f t="shared" si="15"/>
        <v>0</v>
      </c>
      <c r="O122" s="77">
        <f t="shared" si="15"/>
        <v>0</v>
      </c>
      <c r="P122" s="77">
        <f t="shared" si="15"/>
        <v>0</v>
      </c>
      <c r="Q122" s="77">
        <f t="shared" si="15"/>
        <v>0</v>
      </c>
      <c r="R122" s="77">
        <f t="shared" si="15"/>
        <v>0</v>
      </c>
      <c r="S122" s="77">
        <f t="shared" si="15"/>
        <v>0</v>
      </c>
      <c r="T122" s="77">
        <f t="shared" si="15"/>
        <v>0</v>
      </c>
      <c r="U122" s="77">
        <f t="shared" si="15"/>
        <v>0</v>
      </c>
      <c r="V122" s="77">
        <f t="shared" si="15"/>
        <v>0</v>
      </c>
      <c r="W122" s="75">
        <f t="shared" si="12"/>
        <v>1640000000</v>
      </c>
      <c r="X122" s="77">
        <f t="shared" si="15"/>
        <v>0</v>
      </c>
      <c r="Y122" s="86">
        <f>SUM(Y123:Y124)</f>
        <v>1640000000</v>
      </c>
      <c r="Z122" s="77">
        <f t="shared" si="15"/>
        <v>0</v>
      </c>
      <c r="AA122" s="77">
        <f t="shared" si="15"/>
        <v>0</v>
      </c>
      <c r="AB122" s="15"/>
    </row>
    <row r="123" spans="1:29" s="19" customFormat="1" ht="24.75" customHeight="1" x14ac:dyDescent="0.25">
      <c r="A123" s="78"/>
      <c r="B123" s="78"/>
      <c r="C123" s="78"/>
      <c r="D123" s="78">
        <v>261</v>
      </c>
      <c r="E123" s="78"/>
      <c r="F123" s="79" t="str">
        <f>'[2]DT CHI 2026'!$B$75</f>
        <v xml:space="preserve"> - Kinh phí hỗ trợ thu gom, vận chuyển, xử lý rác thải sinh hoạt</v>
      </c>
      <c r="G123" s="79"/>
      <c r="H123" s="79"/>
      <c r="I123" s="80">
        <f>J123+Q123</f>
        <v>703000000</v>
      </c>
      <c r="J123" s="80">
        <f>SUM(K123:P123)</f>
        <v>703000000</v>
      </c>
      <c r="K123" s="90"/>
      <c r="L123" s="90">
        <f>'[2]DT CHI 2026'!$K$75*1000</f>
        <v>703000000</v>
      </c>
      <c r="M123" s="90"/>
      <c r="N123" s="90"/>
      <c r="O123" s="81"/>
      <c r="P123" s="81"/>
      <c r="Q123" s="81"/>
      <c r="R123" s="81">
        <v>0</v>
      </c>
      <c r="S123" s="82"/>
      <c r="T123" s="81"/>
      <c r="U123" s="81"/>
      <c r="V123" s="81"/>
      <c r="W123" s="75">
        <f>Y123</f>
        <v>703000000</v>
      </c>
      <c r="X123" s="78"/>
      <c r="Y123" s="86">
        <f>L123</f>
        <v>703000000</v>
      </c>
      <c r="Z123" s="78"/>
      <c r="AA123" s="81"/>
      <c r="AB123" s="14"/>
    </row>
    <row r="124" spans="1:29" s="19" customFormat="1" ht="47.25" customHeight="1" x14ac:dyDescent="0.25">
      <c r="A124" s="78"/>
      <c r="B124" s="78"/>
      <c r="C124" s="78"/>
      <c r="D124" s="78">
        <v>261</v>
      </c>
      <c r="E124" s="78"/>
      <c r="F124" s="79" t="str">
        <f>'[2]DT CHI 2026'!$B$76</f>
        <v xml:space="preserve">  - Kinh phí xử lý rác thải sinh hoạt đối với xã, phường (chưa thuộc phạm vi của dự án xử lý rác thải sinh hoạt do doanh nghiệp đầu tư) tự thực hiện xử lý rác thải sinh hoạt bằng công nghệ lò đốt hoặc công nghệ khác</v>
      </c>
      <c r="G124" s="79"/>
      <c r="H124" s="79"/>
      <c r="I124" s="80">
        <f>J124+Q124</f>
        <v>937000000</v>
      </c>
      <c r="J124" s="80">
        <f>SUM(K124:P124)</f>
        <v>937000000</v>
      </c>
      <c r="K124" s="90"/>
      <c r="L124" s="90">
        <f>'[2]DT CHI 2026'!$K$76*1000</f>
        <v>937000000</v>
      </c>
      <c r="M124" s="90"/>
      <c r="N124" s="90"/>
      <c r="O124" s="81"/>
      <c r="P124" s="81"/>
      <c r="Q124" s="81"/>
      <c r="R124" s="81">
        <v>0</v>
      </c>
      <c r="S124" s="82"/>
      <c r="T124" s="81"/>
      <c r="U124" s="81"/>
      <c r="V124" s="81"/>
      <c r="W124" s="75">
        <f>Y124</f>
        <v>937000000</v>
      </c>
      <c r="X124" s="78"/>
      <c r="Y124" s="86">
        <f>L124</f>
        <v>937000000</v>
      </c>
      <c r="Z124" s="78"/>
      <c r="AA124" s="81"/>
      <c r="AB124" s="14"/>
    </row>
    <row r="125" spans="1:29" s="24" customFormat="1" ht="22.5" customHeight="1" x14ac:dyDescent="0.25">
      <c r="A125" s="231">
        <v>18</v>
      </c>
      <c r="B125" s="231">
        <v>830</v>
      </c>
      <c r="C125" s="231">
        <v>280</v>
      </c>
      <c r="D125" s="231">
        <v>292</v>
      </c>
      <c r="E125" s="231"/>
      <c r="F125" s="85" t="str">
        <f>'[2]DT CHI 2026'!$B$86</f>
        <v>Sự nghiệp giao thông</v>
      </c>
      <c r="G125" s="85"/>
      <c r="H125" s="85"/>
      <c r="I125" s="77">
        <f>I126</f>
        <v>1171000000</v>
      </c>
      <c r="J125" s="77">
        <f>J126</f>
        <v>1171000000</v>
      </c>
      <c r="K125" s="77">
        <f t="shared" ref="K125:Z125" si="16">SUM(K126:K127)</f>
        <v>0</v>
      </c>
      <c r="L125" s="77">
        <f>L126</f>
        <v>1053900000</v>
      </c>
      <c r="M125" s="77">
        <f t="shared" si="16"/>
        <v>0</v>
      </c>
      <c r="N125" s="77">
        <f>N126</f>
        <v>117100000</v>
      </c>
      <c r="O125" s="77">
        <f t="shared" si="16"/>
        <v>0</v>
      </c>
      <c r="P125" s="77">
        <f t="shared" si="16"/>
        <v>0</v>
      </c>
      <c r="Q125" s="77">
        <f t="shared" si="16"/>
        <v>0</v>
      </c>
      <c r="R125" s="77">
        <f t="shared" si="16"/>
        <v>0</v>
      </c>
      <c r="S125" s="77">
        <f t="shared" si="16"/>
        <v>0</v>
      </c>
      <c r="T125" s="77">
        <f t="shared" si="16"/>
        <v>0</v>
      </c>
      <c r="U125" s="77">
        <f t="shared" si="16"/>
        <v>0</v>
      </c>
      <c r="V125" s="77">
        <f t="shared" si="16"/>
        <v>0</v>
      </c>
      <c r="W125" s="75">
        <f>W126</f>
        <v>1171000000</v>
      </c>
      <c r="X125" s="77">
        <f t="shared" si="16"/>
        <v>0</v>
      </c>
      <c r="Y125" s="86">
        <f>Y126</f>
        <v>1053900000</v>
      </c>
      <c r="Z125" s="77">
        <f t="shared" si="16"/>
        <v>0</v>
      </c>
      <c r="AA125" s="77">
        <f>AA126</f>
        <v>117100000</v>
      </c>
      <c r="AB125" s="15"/>
    </row>
    <row r="126" spans="1:29" s="19" customFormat="1" ht="27.75" customHeight="1" x14ac:dyDescent="0.25">
      <c r="A126" s="78"/>
      <c r="B126" s="78"/>
      <c r="C126" s="78"/>
      <c r="D126" s="78">
        <v>292</v>
      </c>
      <c r="E126" s="78"/>
      <c r="F126" s="79" t="str">
        <f>'[2]DT CHI 2026'!$B$90</f>
        <v xml:space="preserve"> - Kinh phí duy tu, bảo dưỡng các tuyến đường, cầu đường bộ thuộc phạm vi quản lý</v>
      </c>
      <c r="G126" s="79"/>
      <c r="H126" s="79"/>
      <c r="I126" s="80">
        <f>J126+Q126</f>
        <v>1171000000</v>
      </c>
      <c r="J126" s="80">
        <f>SUM(K126:P126)</f>
        <v>1171000000</v>
      </c>
      <c r="K126" s="90"/>
      <c r="L126" s="90">
        <f>'[2]DT CHI 2026'!$K$90*1000-N126</f>
        <v>1053900000</v>
      </c>
      <c r="M126" s="90"/>
      <c r="N126" s="90">
        <v>117100000</v>
      </c>
      <c r="O126" s="90"/>
      <c r="P126" s="90"/>
      <c r="Q126" s="90"/>
      <c r="R126" s="81">
        <v>0</v>
      </c>
      <c r="S126" s="81"/>
      <c r="T126" s="81"/>
      <c r="U126" s="81"/>
      <c r="V126" s="81"/>
      <c r="W126" s="75">
        <f>Y126+AA126</f>
        <v>1171000000</v>
      </c>
      <c r="X126" s="78"/>
      <c r="Y126" s="83">
        <f>L126</f>
        <v>1053900000</v>
      </c>
      <c r="Z126" s="78"/>
      <c r="AA126" s="81">
        <f>N126</f>
        <v>117100000</v>
      </c>
      <c r="AB126" s="14"/>
    </row>
    <row r="127" spans="1:29" s="24" customFormat="1" ht="39.75" customHeight="1" x14ac:dyDescent="0.25">
      <c r="A127" s="231">
        <v>19</v>
      </c>
      <c r="B127" s="231">
        <v>830</v>
      </c>
      <c r="C127" s="231">
        <v>280</v>
      </c>
      <c r="D127" s="231">
        <v>338</v>
      </c>
      <c r="E127" s="231"/>
      <c r="F127" s="85" t="str">
        <f>'[2]DT CHI 2026'!$B$97</f>
        <v>Duy tu bảo dưỡng công trình phục vụ công cộng, sự nghiệp kiến thiết thị chính, tài nguyên địa chính (gồm cả khảo sát giá đất), sự nghiệp kinh tế khác</v>
      </c>
      <c r="G127" s="85"/>
      <c r="H127" s="85"/>
      <c r="I127" s="77">
        <f>SUM(I128:I131)</f>
        <v>10412000000</v>
      </c>
      <c r="J127" s="77">
        <f>SUM(J128:J131)</f>
        <v>10412000000</v>
      </c>
      <c r="K127" s="77">
        <f t="shared" ref="K127:Z127" si="17">SUM(K128:K131)</f>
        <v>0</v>
      </c>
      <c r="L127" s="77">
        <f>SUM(L128:L131)</f>
        <v>10320800000</v>
      </c>
      <c r="M127" s="77">
        <f t="shared" si="17"/>
        <v>0</v>
      </c>
      <c r="N127" s="77">
        <f t="shared" si="17"/>
        <v>91200000</v>
      </c>
      <c r="O127" s="77">
        <f t="shared" si="17"/>
        <v>0</v>
      </c>
      <c r="P127" s="77">
        <f t="shared" si="17"/>
        <v>0</v>
      </c>
      <c r="Q127" s="77">
        <f t="shared" si="17"/>
        <v>0</v>
      </c>
      <c r="R127" s="77">
        <f t="shared" si="17"/>
        <v>0</v>
      </c>
      <c r="S127" s="77">
        <f t="shared" si="17"/>
        <v>0</v>
      </c>
      <c r="T127" s="77">
        <f t="shared" si="17"/>
        <v>0</v>
      </c>
      <c r="U127" s="77">
        <f t="shared" si="17"/>
        <v>0</v>
      </c>
      <c r="V127" s="77">
        <f t="shared" si="17"/>
        <v>0</v>
      </c>
      <c r="W127" s="75">
        <f>SUM(W128:W131)</f>
        <v>10412000000</v>
      </c>
      <c r="X127" s="75">
        <f>SUM(X128:X131)</f>
        <v>0</v>
      </c>
      <c r="Y127" s="75">
        <f>SUM(Y128:Y131)</f>
        <v>10320800000</v>
      </c>
      <c r="Z127" s="77">
        <f t="shared" si="17"/>
        <v>0</v>
      </c>
      <c r="AA127" s="77">
        <f>SUM(AA128:AA130)</f>
        <v>91200000</v>
      </c>
      <c r="AB127" s="15"/>
    </row>
    <row r="128" spans="1:29" s="19" customFormat="1" ht="22.5" customHeight="1" x14ac:dyDescent="0.25">
      <c r="A128" s="78"/>
      <c r="B128" s="78"/>
      <c r="C128" s="78"/>
      <c r="D128" s="78">
        <v>338</v>
      </c>
      <c r="E128" s="78"/>
      <c r="F128" s="79" t="str">
        <f>'[2]DT CHI 2026'!$B$104</f>
        <v>Nạo vét Đông Xuân  năm 2025-2026</v>
      </c>
      <c r="G128" s="79"/>
      <c r="H128" s="79"/>
      <c r="I128" s="80">
        <f>J128+Q128</f>
        <v>912000000</v>
      </c>
      <c r="J128" s="80">
        <f>SUM(K128:P128)</f>
        <v>912000000</v>
      </c>
      <c r="K128" s="90"/>
      <c r="L128" s="90">
        <f>'[2]DT CHI 2026'!$K$104*1000-N128</f>
        <v>820800000</v>
      </c>
      <c r="M128" s="90"/>
      <c r="N128" s="90">
        <v>91200000</v>
      </c>
      <c r="O128" s="90"/>
      <c r="P128" s="90"/>
      <c r="Q128" s="90"/>
      <c r="R128" s="81"/>
      <c r="S128" s="81"/>
      <c r="T128" s="81"/>
      <c r="U128" s="81"/>
      <c r="V128" s="81"/>
      <c r="W128" s="75">
        <f>Y128+AA128</f>
        <v>912000000</v>
      </c>
      <c r="X128" s="231"/>
      <c r="Y128" s="86">
        <f>L128</f>
        <v>820800000</v>
      </c>
      <c r="Z128" s="231"/>
      <c r="AA128" s="94">
        <v>91200000</v>
      </c>
      <c r="AB128" s="14"/>
    </row>
    <row r="129" spans="1:28" s="19" customFormat="1" ht="36" customHeight="1" x14ac:dyDescent="0.25">
      <c r="A129" s="78"/>
      <c r="B129" s="78"/>
      <c r="C129" s="78"/>
      <c r="D129" s="78">
        <v>338</v>
      </c>
      <c r="E129" s="78"/>
      <c r="F129" s="79" t="str">
        <f>'[3]SN kinh tế khác'!$B$8</f>
        <v>Nâng cấp, cải tạo các tuyến đường TDP Nhân Vinh, Phường Đường Hào ( Đoạn 1 từ đường Nguyễn Trung Ngạn đến nghĩa trang, đoạn 2 từ đường Nguyễn Trung Ngạn đến nhà bà Hạnh)</v>
      </c>
      <c r="G129" s="79"/>
      <c r="H129" s="79"/>
      <c r="I129" s="80">
        <f>J129+Q129</f>
        <v>4500000000</v>
      </c>
      <c r="J129" s="80">
        <f>SUM(K129:P129)</f>
        <v>4500000000</v>
      </c>
      <c r="K129" s="90"/>
      <c r="L129" s="90">
        <v>4500000000</v>
      </c>
      <c r="M129" s="90"/>
      <c r="N129" s="90"/>
      <c r="O129" s="90"/>
      <c r="P129" s="90"/>
      <c r="Q129" s="90"/>
      <c r="R129" s="81"/>
      <c r="S129" s="81"/>
      <c r="T129" s="81"/>
      <c r="U129" s="81"/>
      <c r="V129" s="81"/>
      <c r="W129" s="75">
        <f>L129</f>
        <v>4500000000</v>
      </c>
      <c r="X129" s="78"/>
      <c r="Y129" s="86">
        <f>W129</f>
        <v>4500000000</v>
      </c>
      <c r="Z129" s="78"/>
      <c r="AA129" s="81"/>
      <c r="AB129" s="14"/>
    </row>
    <row r="130" spans="1:28" s="19" customFormat="1" ht="24.75" customHeight="1" x14ac:dyDescent="0.25">
      <c r="A130" s="78"/>
      <c r="B130" s="78"/>
      <c r="C130" s="78"/>
      <c r="D130" s="78">
        <v>338</v>
      </c>
      <c r="E130" s="78"/>
      <c r="F130" s="79" t="str">
        <f>'[3]SN kinh tế khác'!$B$9</f>
        <v xml:space="preserve">Cải tạo, nâng cấp đường giao thông TDP Ngọc Lập, phường Đường Hào </v>
      </c>
      <c r="G130" s="79"/>
      <c r="H130" s="79"/>
      <c r="I130" s="80">
        <f>J130+Q130</f>
        <v>2800000000</v>
      </c>
      <c r="J130" s="80">
        <f>SUM(K130:P130)</f>
        <v>2800000000</v>
      </c>
      <c r="K130" s="90"/>
      <c r="L130" s="90">
        <v>2800000000</v>
      </c>
      <c r="M130" s="90"/>
      <c r="N130" s="90"/>
      <c r="O130" s="90"/>
      <c r="P130" s="90"/>
      <c r="Q130" s="90"/>
      <c r="R130" s="81"/>
      <c r="S130" s="81"/>
      <c r="T130" s="81"/>
      <c r="U130" s="81"/>
      <c r="V130" s="81"/>
      <c r="W130" s="75">
        <f>L130</f>
        <v>2800000000</v>
      </c>
      <c r="X130" s="78"/>
      <c r="Y130" s="86">
        <f>W130</f>
        <v>2800000000</v>
      </c>
      <c r="Z130" s="78"/>
      <c r="AA130" s="81"/>
      <c r="AB130" s="14"/>
    </row>
    <row r="131" spans="1:28" s="19" customFormat="1" ht="32.25" customHeight="1" x14ac:dyDescent="0.25">
      <c r="A131" s="78"/>
      <c r="B131" s="78"/>
      <c r="C131" s="78"/>
      <c r="D131" s="78">
        <v>338</v>
      </c>
      <c r="E131" s="78"/>
      <c r="F131" s="79" t="str">
        <f>'[3]SN kinh tế khác'!$B$10</f>
        <v>Cải tạo, nâng cấp đường giao thông  TDP Long Đằng, phường Đường Hào</v>
      </c>
      <c r="G131" s="79"/>
      <c r="H131" s="79"/>
      <c r="I131" s="80">
        <f>J131+Q131</f>
        <v>2200000000</v>
      </c>
      <c r="J131" s="80">
        <f>SUM(K131:P131)</f>
        <v>2200000000</v>
      </c>
      <c r="K131" s="90"/>
      <c r="L131" s="90">
        <v>2200000000</v>
      </c>
      <c r="M131" s="90"/>
      <c r="N131" s="90"/>
      <c r="O131" s="90"/>
      <c r="P131" s="90"/>
      <c r="Q131" s="90"/>
      <c r="R131" s="81"/>
      <c r="S131" s="93"/>
      <c r="T131" s="81"/>
      <c r="U131" s="81"/>
      <c r="V131" s="81"/>
      <c r="W131" s="75">
        <f>L131</f>
        <v>2200000000</v>
      </c>
      <c r="X131" s="78"/>
      <c r="Y131" s="86">
        <f>W131</f>
        <v>2200000000</v>
      </c>
      <c r="Z131" s="78"/>
      <c r="AA131" s="81"/>
      <c r="AB131" s="14"/>
    </row>
    <row r="132" spans="1:28" s="15" customFormat="1" ht="45" customHeight="1" x14ac:dyDescent="0.25">
      <c r="A132" s="231">
        <v>20</v>
      </c>
      <c r="B132" s="76">
        <v>830</v>
      </c>
      <c r="C132" s="75">
        <v>340</v>
      </c>
      <c r="D132" s="75">
        <v>341</v>
      </c>
      <c r="E132" s="93" t="s">
        <v>282</v>
      </c>
      <c r="F132" s="118" t="s">
        <v>272</v>
      </c>
      <c r="G132" s="118"/>
      <c r="H132" s="74"/>
      <c r="I132" s="77">
        <f t="shared" ref="I132:I137" si="18">J132+O132</f>
        <v>875136600</v>
      </c>
      <c r="J132" s="75"/>
      <c r="K132" s="75"/>
      <c r="L132" s="231"/>
      <c r="M132" s="75"/>
      <c r="N132" s="231"/>
      <c r="O132" s="86">
        <f>Q132</f>
        <v>875136600</v>
      </c>
      <c r="P132" s="231"/>
      <c r="Q132" s="75">
        <v>875136600</v>
      </c>
      <c r="R132" s="86">
        <f>Q132</f>
        <v>875136600</v>
      </c>
      <c r="S132" s="231"/>
      <c r="T132" s="86">
        <f>R132</f>
        <v>875136600</v>
      </c>
      <c r="U132" s="231"/>
      <c r="V132" s="231"/>
      <c r="W132" s="75">
        <f t="shared" si="12"/>
        <v>0</v>
      </c>
      <c r="X132" s="231"/>
      <c r="Y132" s="86">
        <f>L254</f>
        <v>0</v>
      </c>
      <c r="Z132" s="231"/>
      <c r="AA132" s="231"/>
    </row>
    <row r="133" spans="1:28" s="15" customFormat="1" ht="28.5" customHeight="1" x14ac:dyDescent="0.25">
      <c r="A133" s="231">
        <v>21</v>
      </c>
      <c r="B133" s="76">
        <v>830</v>
      </c>
      <c r="C133" s="75">
        <v>340</v>
      </c>
      <c r="D133" s="75">
        <v>341</v>
      </c>
      <c r="E133" s="75"/>
      <c r="F133" s="118" t="s">
        <v>273</v>
      </c>
      <c r="G133" s="118"/>
      <c r="H133" s="74"/>
      <c r="I133" s="77">
        <f t="shared" si="18"/>
        <v>42914620</v>
      </c>
      <c r="J133" s="75"/>
      <c r="K133" s="75"/>
      <c r="L133" s="231"/>
      <c r="M133" s="75"/>
      <c r="N133" s="231"/>
      <c r="O133" s="86">
        <f>P133</f>
        <v>42914620</v>
      </c>
      <c r="P133" s="75">
        <v>42914620</v>
      </c>
      <c r="Q133" s="75"/>
      <c r="R133" s="231"/>
      <c r="S133" s="231"/>
      <c r="T133" s="231"/>
      <c r="U133" s="231"/>
      <c r="V133" s="231"/>
      <c r="W133" s="75">
        <f>X133</f>
        <v>42914620</v>
      </c>
      <c r="X133" s="86">
        <f>P133</f>
        <v>42914620</v>
      </c>
      <c r="Y133" s="86">
        <f>L255</f>
        <v>0</v>
      </c>
      <c r="Z133" s="231"/>
      <c r="AA133" s="231"/>
    </row>
    <row r="134" spans="1:28" s="15" customFormat="1" ht="29.25" customHeight="1" x14ac:dyDescent="0.25">
      <c r="A134" s="231">
        <v>22</v>
      </c>
      <c r="B134" s="231">
        <v>830</v>
      </c>
      <c r="C134" s="231">
        <v>340</v>
      </c>
      <c r="D134" s="231">
        <v>341</v>
      </c>
      <c r="E134" s="231"/>
      <c r="F134" s="118" t="s">
        <v>283</v>
      </c>
      <c r="G134" s="118"/>
      <c r="H134" s="74"/>
      <c r="I134" s="77">
        <f t="shared" si="18"/>
        <v>95000000</v>
      </c>
      <c r="J134" s="75"/>
      <c r="K134" s="75"/>
      <c r="L134" s="75"/>
      <c r="M134" s="75"/>
      <c r="N134" s="231"/>
      <c r="O134" s="86">
        <f>Q134</f>
        <v>95000000</v>
      </c>
      <c r="P134" s="231"/>
      <c r="Q134" s="75">
        <v>95000000</v>
      </c>
      <c r="R134" s="231"/>
      <c r="S134" s="231"/>
      <c r="T134" s="231"/>
      <c r="U134" s="231"/>
      <c r="V134" s="231"/>
      <c r="W134" s="75">
        <f t="shared" si="12"/>
        <v>95000000</v>
      </c>
      <c r="X134" s="231"/>
      <c r="Y134" s="86">
        <f>Q134</f>
        <v>95000000</v>
      </c>
      <c r="Z134" s="231"/>
      <c r="AA134" s="231"/>
      <c r="AB134" s="15">
        <f>205*3</f>
        <v>615</v>
      </c>
    </row>
    <row r="135" spans="1:28" s="15" customFormat="1" ht="27" customHeight="1" x14ac:dyDescent="0.25">
      <c r="A135" s="231">
        <v>23</v>
      </c>
      <c r="B135" s="231">
        <v>830</v>
      </c>
      <c r="C135" s="231">
        <v>340</v>
      </c>
      <c r="D135" s="231">
        <v>341</v>
      </c>
      <c r="E135" s="231"/>
      <c r="F135" s="118" t="s">
        <v>284</v>
      </c>
      <c r="G135" s="118"/>
      <c r="H135" s="74"/>
      <c r="I135" s="77">
        <f t="shared" si="18"/>
        <v>87780000</v>
      </c>
      <c r="J135" s="75"/>
      <c r="K135" s="75"/>
      <c r="L135" s="75"/>
      <c r="M135" s="75"/>
      <c r="N135" s="231"/>
      <c r="O135" s="86">
        <f>Q135</f>
        <v>87780000</v>
      </c>
      <c r="P135" s="231"/>
      <c r="Q135" s="75">
        <v>87780000</v>
      </c>
      <c r="R135" s="231"/>
      <c r="S135" s="231"/>
      <c r="T135" s="231"/>
      <c r="U135" s="231"/>
      <c r="V135" s="231"/>
      <c r="W135" s="75">
        <f t="shared" si="12"/>
        <v>87780000</v>
      </c>
      <c r="X135" s="231"/>
      <c r="Y135" s="86">
        <f>Q135</f>
        <v>87780000</v>
      </c>
      <c r="Z135" s="231"/>
      <c r="AA135" s="231"/>
      <c r="AB135" s="15">
        <v>537</v>
      </c>
    </row>
    <row r="136" spans="1:28" s="15" customFormat="1" ht="32.25" customHeight="1" x14ac:dyDescent="0.25">
      <c r="A136" s="231">
        <v>24</v>
      </c>
      <c r="B136" s="231">
        <v>830</v>
      </c>
      <c r="C136" s="231">
        <v>340</v>
      </c>
      <c r="D136" s="231">
        <v>341</v>
      </c>
      <c r="E136" s="231"/>
      <c r="F136" s="118" t="s">
        <v>285</v>
      </c>
      <c r="G136" s="118"/>
      <c r="H136" s="74"/>
      <c r="I136" s="77">
        <f t="shared" si="18"/>
        <v>91600000</v>
      </c>
      <c r="J136" s="75"/>
      <c r="K136" s="75"/>
      <c r="L136" s="75"/>
      <c r="M136" s="75"/>
      <c r="N136" s="231"/>
      <c r="O136" s="86">
        <f>Q136</f>
        <v>91600000</v>
      </c>
      <c r="P136" s="231"/>
      <c r="Q136" s="75">
        <v>91600000</v>
      </c>
      <c r="R136" s="231"/>
      <c r="S136" s="231"/>
      <c r="T136" s="231"/>
      <c r="U136" s="231"/>
      <c r="V136" s="231"/>
      <c r="W136" s="75">
        <f t="shared" si="12"/>
        <v>91600000</v>
      </c>
      <c r="X136" s="231"/>
      <c r="Y136" s="86">
        <f>Q136</f>
        <v>91600000</v>
      </c>
      <c r="Z136" s="231"/>
      <c r="AA136" s="231"/>
      <c r="AB136" s="15">
        <f>AB134-AB135</f>
        <v>78</v>
      </c>
    </row>
    <row r="137" spans="1:28" s="15" customFormat="1" ht="32.25" customHeight="1" x14ac:dyDescent="0.25">
      <c r="A137" s="231">
        <v>25</v>
      </c>
      <c r="B137" s="231">
        <v>830</v>
      </c>
      <c r="C137" s="231">
        <v>340</v>
      </c>
      <c r="D137" s="231">
        <v>341</v>
      </c>
      <c r="E137" s="231"/>
      <c r="F137" s="118" t="s">
        <v>286</v>
      </c>
      <c r="G137" s="118"/>
      <c r="H137" s="74"/>
      <c r="I137" s="77">
        <f t="shared" si="18"/>
        <v>56000000</v>
      </c>
      <c r="J137" s="75"/>
      <c r="K137" s="75"/>
      <c r="L137" s="75"/>
      <c r="M137" s="75"/>
      <c r="N137" s="231"/>
      <c r="O137" s="86">
        <f>Q137</f>
        <v>56000000</v>
      </c>
      <c r="P137" s="231"/>
      <c r="Q137" s="75">
        <v>56000000</v>
      </c>
      <c r="R137" s="231"/>
      <c r="S137" s="231"/>
      <c r="T137" s="231"/>
      <c r="U137" s="231"/>
      <c r="V137" s="231"/>
      <c r="W137" s="75">
        <f t="shared" si="12"/>
        <v>56000000</v>
      </c>
      <c r="X137" s="231"/>
      <c r="Y137" s="86">
        <f>Q137</f>
        <v>56000000</v>
      </c>
      <c r="Z137" s="231"/>
      <c r="AA137" s="231"/>
    </row>
    <row r="138" spans="1:28" s="15" customFormat="1" ht="27.75" customHeight="1" x14ac:dyDescent="0.15">
      <c r="A138" s="231">
        <v>26</v>
      </c>
      <c r="B138" s="76">
        <v>830</v>
      </c>
      <c r="C138" s="75">
        <v>12</v>
      </c>
      <c r="D138" s="75">
        <v>341</v>
      </c>
      <c r="E138" s="75"/>
      <c r="F138" s="101" t="s">
        <v>14</v>
      </c>
      <c r="G138" s="101"/>
      <c r="H138" s="74"/>
      <c r="I138" s="75">
        <f>Q138</f>
        <v>437539000</v>
      </c>
      <c r="J138" s="75"/>
      <c r="K138" s="75"/>
      <c r="L138" s="231"/>
      <c r="M138" s="75"/>
      <c r="N138" s="231"/>
      <c r="O138" s="86">
        <f>Q138</f>
        <v>437539000</v>
      </c>
      <c r="P138" s="231"/>
      <c r="Q138" s="75">
        <v>437539000</v>
      </c>
      <c r="R138" s="231"/>
      <c r="S138" s="231"/>
      <c r="T138" s="231"/>
      <c r="U138" s="231"/>
      <c r="V138" s="231"/>
      <c r="W138" s="75">
        <f t="shared" si="12"/>
        <v>437539000</v>
      </c>
      <c r="X138" s="231"/>
      <c r="Y138" s="86">
        <f>Q138</f>
        <v>437539000</v>
      </c>
      <c r="Z138" s="231"/>
      <c r="AA138" s="231"/>
    </row>
    <row r="139" spans="1:28" s="19" customFormat="1" x14ac:dyDescent="0.25">
      <c r="B139" s="39"/>
      <c r="C139" s="40"/>
      <c r="D139" s="40"/>
      <c r="E139" s="40"/>
      <c r="F139" s="41"/>
      <c r="G139" s="41"/>
      <c r="H139" s="41"/>
      <c r="I139" s="40"/>
      <c r="J139" s="40"/>
      <c r="K139" s="40"/>
      <c r="M139" s="40"/>
      <c r="Q139" s="40"/>
    </row>
    <row r="140" spans="1:28" s="19" customFormat="1" x14ac:dyDescent="0.25">
      <c r="B140" s="39"/>
      <c r="C140" s="40"/>
      <c r="D140" s="40"/>
      <c r="E140" s="40"/>
      <c r="F140" s="41"/>
      <c r="G140" s="41"/>
      <c r="H140" s="41"/>
      <c r="I140" s="40"/>
      <c r="J140" s="40"/>
      <c r="K140" s="40"/>
      <c r="M140" s="40"/>
      <c r="Q140" s="40"/>
    </row>
    <row r="141" spans="1:28" s="19" customFormat="1" x14ac:dyDescent="0.25">
      <c r="B141" s="39"/>
      <c r="C141" s="40"/>
      <c r="D141" s="40"/>
      <c r="E141" s="40"/>
      <c r="F141" s="41"/>
      <c r="G141" s="41"/>
      <c r="H141" s="41"/>
      <c r="I141" s="40"/>
      <c r="J141" s="40"/>
      <c r="K141" s="40"/>
      <c r="M141" s="40"/>
      <c r="Q141" s="40"/>
    </row>
    <row r="142" spans="1:28" s="19" customFormat="1" x14ac:dyDescent="0.25">
      <c r="B142" s="39"/>
      <c r="C142" s="40"/>
      <c r="D142" s="40"/>
      <c r="E142" s="40"/>
      <c r="F142" s="41"/>
      <c r="G142" s="41"/>
      <c r="H142" s="41"/>
      <c r="I142" s="40"/>
      <c r="J142" s="40"/>
      <c r="K142" s="40"/>
      <c r="M142" s="40"/>
      <c r="Q142" s="40"/>
    </row>
    <row r="143" spans="1:28" s="19" customFormat="1" x14ac:dyDescent="0.25">
      <c r="B143" s="39"/>
      <c r="C143" s="40"/>
      <c r="D143" s="40"/>
      <c r="E143" s="40"/>
      <c r="F143" s="41"/>
      <c r="G143" s="41"/>
      <c r="H143" s="41"/>
      <c r="I143" s="40"/>
      <c r="J143" s="40"/>
      <c r="K143" s="40"/>
      <c r="M143" s="40"/>
      <c r="Q143" s="40"/>
    </row>
    <row r="144" spans="1:28" s="19" customFormat="1" x14ac:dyDescent="0.25">
      <c r="B144" s="39"/>
      <c r="C144" s="40"/>
      <c r="D144" s="40"/>
      <c r="E144" s="40"/>
      <c r="F144" s="41"/>
      <c r="G144" s="41"/>
      <c r="H144" s="41"/>
      <c r="I144" s="40"/>
      <c r="J144" s="40"/>
      <c r="K144" s="40"/>
      <c r="M144" s="40"/>
      <c r="Q144" s="40"/>
    </row>
    <row r="145" spans="2:17" s="19" customFormat="1" x14ac:dyDescent="0.25">
      <c r="B145" s="39"/>
      <c r="C145" s="40"/>
      <c r="D145" s="40"/>
      <c r="E145" s="40"/>
      <c r="F145" s="41"/>
      <c r="G145" s="41"/>
      <c r="H145" s="41"/>
      <c r="I145" s="40"/>
      <c r="J145" s="40"/>
      <c r="K145" s="40"/>
      <c r="M145" s="40"/>
      <c r="Q145" s="40"/>
    </row>
    <row r="146" spans="2:17" s="19" customFormat="1" x14ac:dyDescent="0.25">
      <c r="B146" s="39"/>
      <c r="C146" s="40"/>
      <c r="D146" s="40"/>
      <c r="E146" s="40"/>
      <c r="F146" s="41"/>
      <c r="G146" s="41"/>
      <c r="H146" s="41"/>
      <c r="I146" s="40"/>
      <c r="J146" s="40"/>
      <c r="K146" s="40"/>
      <c r="M146" s="40"/>
      <c r="Q146" s="40"/>
    </row>
    <row r="147" spans="2:17" s="19" customFormat="1" x14ac:dyDescent="0.25">
      <c r="B147" s="39"/>
      <c r="C147" s="40"/>
      <c r="D147" s="40"/>
      <c r="E147" s="40"/>
      <c r="F147" s="41"/>
      <c r="G147" s="41"/>
      <c r="H147" s="41"/>
      <c r="I147" s="40"/>
      <c r="J147" s="40"/>
      <c r="K147" s="40"/>
      <c r="M147" s="40"/>
      <c r="Q147" s="40"/>
    </row>
    <row r="148" spans="2:17" s="19" customFormat="1" x14ac:dyDescent="0.25">
      <c r="B148" s="39"/>
      <c r="C148" s="40"/>
      <c r="D148" s="40"/>
      <c r="E148" s="40"/>
      <c r="F148" s="41"/>
      <c r="G148" s="41"/>
      <c r="H148" s="41"/>
      <c r="I148" s="40"/>
      <c r="J148" s="40"/>
      <c r="K148" s="40"/>
      <c r="M148" s="40"/>
      <c r="Q148" s="40"/>
    </row>
    <row r="149" spans="2:17" s="19" customFormat="1" x14ac:dyDescent="0.25">
      <c r="B149" s="39"/>
      <c r="C149" s="40"/>
      <c r="D149" s="40"/>
      <c r="E149" s="40"/>
      <c r="F149" s="41"/>
      <c r="G149" s="41"/>
      <c r="H149" s="41"/>
      <c r="I149" s="40"/>
      <c r="J149" s="40"/>
      <c r="K149" s="40"/>
      <c r="M149" s="40"/>
      <c r="Q149" s="40"/>
    </row>
    <row r="150" spans="2:17" s="19" customFormat="1" x14ac:dyDescent="0.25">
      <c r="B150" s="39"/>
      <c r="C150" s="40"/>
      <c r="D150" s="40"/>
      <c r="E150" s="40"/>
      <c r="F150" s="41"/>
      <c r="G150" s="41"/>
      <c r="H150" s="41"/>
      <c r="I150" s="40"/>
      <c r="J150" s="40"/>
      <c r="K150" s="40"/>
      <c r="M150" s="40"/>
      <c r="Q150" s="40"/>
    </row>
    <row r="151" spans="2:17" s="19" customFormat="1" x14ac:dyDescent="0.25">
      <c r="B151" s="39"/>
      <c r="C151" s="40"/>
      <c r="D151" s="40"/>
      <c r="E151" s="40"/>
      <c r="F151" s="41"/>
      <c r="G151" s="41"/>
      <c r="H151" s="41"/>
      <c r="I151" s="40"/>
      <c r="J151" s="40"/>
      <c r="K151" s="40"/>
      <c r="M151" s="40"/>
      <c r="Q151" s="40"/>
    </row>
    <row r="152" spans="2:17" s="19" customFormat="1" x14ac:dyDescent="0.25">
      <c r="B152" s="39"/>
      <c r="C152" s="40"/>
      <c r="D152" s="40"/>
      <c r="E152" s="40"/>
      <c r="F152" s="41"/>
      <c r="G152" s="41"/>
      <c r="H152" s="41"/>
      <c r="I152" s="40"/>
      <c r="J152" s="40"/>
      <c r="K152" s="40"/>
      <c r="M152" s="40"/>
      <c r="Q152" s="40"/>
    </row>
    <row r="157" spans="2:17" x14ac:dyDescent="0.25">
      <c r="J157" s="40">
        <v>53455618</v>
      </c>
    </row>
    <row r="158" spans="2:17" x14ac:dyDescent="0.25">
      <c r="J158" s="40">
        <v>1857414</v>
      </c>
    </row>
    <row r="159" spans="2:17" x14ac:dyDescent="0.25">
      <c r="J159" s="40">
        <v>2272026</v>
      </c>
    </row>
    <row r="160" spans="2:17" x14ac:dyDescent="0.25">
      <c r="J160" s="40">
        <f>SUM(J157:J159)</f>
        <v>57585058</v>
      </c>
    </row>
    <row r="162" spans="10:25" x14ac:dyDescent="0.25">
      <c r="J162" s="40">
        <v>1517676</v>
      </c>
    </row>
    <row r="163" spans="10:25" x14ac:dyDescent="0.25">
      <c r="J163" s="40">
        <v>260065</v>
      </c>
    </row>
    <row r="164" spans="10:25" ht="12" customHeight="1" x14ac:dyDescent="0.25">
      <c r="J164" s="40">
        <f>SUM(J162:J163)</f>
        <v>1777741</v>
      </c>
    </row>
    <row r="166" spans="10:25" x14ac:dyDescent="0.25">
      <c r="Y166" s="193">
        <f>Y126+Y120</f>
        <v>1059599000</v>
      </c>
    </row>
  </sheetData>
  <autoFilter ref="D1:D164"/>
  <mergeCells count="17">
    <mergeCell ref="A7:F7"/>
    <mergeCell ref="H5:H6"/>
    <mergeCell ref="A1:AA1"/>
    <mergeCell ref="A2:AA2"/>
    <mergeCell ref="A4:A6"/>
    <mergeCell ref="B4:B6"/>
    <mergeCell ref="C4:C6"/>
    <mergeCell ref="D4:D6"/>
    <mergeCell ref="F4:F6"/>
    <mergeCell ref="R4:V4"/>
    <mergeCell ref="W4:AA4"/>
    <mergeCell ref="I5:I6"/>
    <mergeCell ref="J5:N5"/>
    <mergeCell ref="O5:Q5"/>
    <mergeCell ref="E4:E6"/>
    <mergeCell ref="H4:Q4"/>
    <mergeCell ref="G4:G6"/>
  </mergeCells>
  <pageMargins left="0.49" right="0.3" top="0.75" bottom="0.75" header="0.3" footer="0.3"/>
  <pageSetup paperSize="8"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33"/>
  <sheetViews>
    <sheetView zoomScale="84" zoomScaleNormal="84" workbookViewId="0">
      <selection activeCell="B3" sqref="A3:XFD33"/>
    </sheetView>
  </sheetViews>
  <sheetFormatPr defaultRowHeight="15.75" x14ac:dyDescent="0.25"/>
  <cols>
    <col min="1" max="1" width="5.75" style="188" customWidth="1"/>
    <col min="2" max="2" width="8.5" style="188" customWidth="1"/>
    <col min="3" max="3" width="13.625" style="188" customWidth="1"/>
    <col min="4" max="4" width="13.75" style="138" customWidth="1"/>
    <col min="5" max="5" width="12" style="138" customWidth="1"/>
    <col min="6" max="6" width="13.125" style="138" customWidth="1"/>
    <col min="7" max="7" width="10.75" style="138" customWidth="1"/>
    <col min="8" max="8" width="13.125" style="138" customWidth="1"/>
    <col min="9" max="9" width="12.5" style="138" customWidth="1"/>
    <col min="10" max="10" width="12.75" style="138" customWidth="1"/>
    <col min="11" max="11" width="13.375" style="138" customWidth="1"/>
    <col min="12" max="12" width="13.875" style="138" customWidth="1"/>
    <col min="13" max="13" width="13.375" style="138" customWidth="1"/>
    <col min="14" max="14" width="14" style="138" customWidth="1"/>
    <col min="15" max="15" width="12.75" style="138" customWidth="1"/>
    <col min="16" max="16" width="12.5" style="138" customWidth="1"/>
    <col min="17" max="17" width="11.75" style="138" customWidth="1"/>
    <col min="18" max="18" width="12.125" style="138" customWidth="1"/>
    <col min="19" max="19" width="11" style="138" customWidth="1"/>
    <col min="20" max="20" width="11.625" style="138" customWidth="1"/>
    <col min="21" max="28" width="9" style="28"/>
  </cols>
  <sheetData>
    <row r="2" spans="1:28" s="228" customFormat="1" ht="18.75" x14ac:dyDescent="0.3">
      <c r="A2" s="188"/>
      <c r="B2" s="188"/>
      <c r="C2" s="188"/>
      <c r="D2" s="138"/>
      <c r="E2" s="138"/>
      <c r="F2" s="138"/>
      <c r="G2" s="138"/>
      <c r="H2" s="138"/>
      <c r="I2" s="138"/>
      <c r="J2" s="138"/>
      <c r="K2" s="138"/>
      <c r="L2" s="138"/>
      <c r="M2" s="138"/>
      <c r="N2" s="138"/>
      <c r="O2" s="138"/>
      <c r="P2" s="138"/>
      <c r="Q2" s="138"/>
      <c r="R2" s="138"/>
      <c r="S2" s="138"/>
      <c r="T2" s="138"/>
      <c r="U2" s="233"/>
      <c r="V2" s="233"/>
      <c r="W2" s="233"/>
      <c r="X2" s="233"/>
      <c r="Y2" s="233"/>
      <c r="Z2" s="233"/>
      <c r="AA2" s="233"/>
      <c r="AB2" s="233"/>
    </row>
    <row r="3" spans="1:28" s="235" customFormat="1" ht="23.25" customHeight="1" x14ac:dyDescent="0.25">
      <c r="A3" s="289" t="s">
        <v>293</v>
      </c>
      <c r="B3" s="234"/>
      <c r="C3" s="234"/>
      <c r="D3" s="290" t="s">
        <v>1</v>
      </c>
      <c r="E3" s="291"/>
      <c r="F3" s="291"/>
      <c r="G3" s="291"/>
      <c r="H3" s="291"/>
      <c r="I3" s="292"/>
      <c r="J3" s="288" t="s">
        <v>296</v>
      </c>
      <c r="K3" s="288"/>
      <c r="L3" s="288"/>
      <c r="M3" s="279" t="s">
        <v>291</v>
      </c>
      <c r="N3" s="282" t="s">
        <v>292</v>
      </c>
      <c r="O3" s="283"/>
      <c r="P3" s="283"/>
      <c r="Q3" s="283"/>
      <c r="R3" s="283"/>
      <c r="S3" s="283"/>
      <c r="T3" s="284"/>
    </row>
    <row r="4" spans="1:28" s="243" customFormat="1" ht="42.75" customHeight="1" x14ac:dyDescent="0.25">
      <c r="A4" s="289"/>
      <c r="B4" s="293" t="s">
        <v>304</v>
      </c>
      <c r="C4" s="293" t="s">
        <v>297</v>
      </c>
      <c r="D4" s="279" t="s">
        <v>24</v>
      </c>
      <c r="E4" s="279" t="s">
        <v>23</v>
      </c>
      <c r="F4" s="279" t="s">
        <v>71</v>
      </c>
      <c r="G4" s="279" t="s">
        <v>25</v>
      </c>
      <c r="H4" s="279" t="s">
        <v>26</v>
      </c>
      <c r="I4" s="279" t="s">
        <v>72</v>
      </c>
      <c r="J4" s="295" t="s">
        <v>125</v>
      </c>
      <c r="K4" s="295" t="s">
        <v>289</v>
      </c>
      <c r="L4" s="295" t="s">
        <v>290</v>
      </c>
      <c r="M4" s="280"/>
      <c r="N4" s="285"/>
      <c r="O4" s="286"/>
      <c r="P4" s="286"/>
      <c r="Q4" s="286"/>
      <c r="R4" s="286"/>
      <c r="S4" s="286"/>
      <c r="T4" s="287"/>
    </row>
    <row r="5" spans="1:28" s="237" customFormat="1" ht="24" customHeight="1" x14ac:dyDescent="0.25">
      <c r="A5" s="244"/>
      <c r="B5" s="294"/>
      <c r="C5" s="294"/>
      <c r="D5" s="281"/>
      <c r="E5" s="281"/>
      <c r="F5" s="281"/>
      <c r="G5" s="281"/>
      <c r="H5" s="281"/>
      <c r="I5" s="281"/>
      <c r="J5" s="296"/>
      <c r="K5" s="296"/>
      <c r="L5" s="296"/>
      <c r="M5" s="281"/>
      <c r="N5" s="245" t="s">
        <v>297</v>
      </c>
      <c r="O5" s="245" t="s">
        <v>298</v>
      </c>
      <c r="P5" s="245" t="s">
        <v>299</v>
      </c>
      <c r="Q5" s="245" t="s">
        <v>71</v>
      </c>
      <c r="R5" s="245" t="s">
        <v>72</v>
      </c>
      <c r="S5" s="245" t="s">
        <v>300</v>
      </c>
      <c r="T5" s="245" t="s">
        <v>301</v>
      </c>
    </row>
    <row r="6" spans="1:28" s="237" customFormat="1" ht="24" customHeight="1" x14ac:dyDescent="0.25">
      <c r="A6" s="244"/>
      <c r="B6" s="244" t="s">
        <v>297</v>
      </c>
      <c r="C6" s="236">
        <f>C7+C19</f>
        <v>66025291857</v>
      </c>
      <c r="D6" s="236">
        <f t="shared" ref="D6:T6" si="0">D7+D19</f>
        <v>43857985477</v>
      </c>
      <c r="E6" s="236">
        <f t="shared" si="0"/>
        <v>3757157180</v>
      </c>
      <c r="F6" s="236">
        <f t="shared" si="0"/>
        <v>16015000000</v>
      </c>
      <c r="G6" s="236">
        <f t="shared" si="0"/>
        <v>191672000</v>
      </c>
      <c r="H6" s="236">
        <f t="shared" si="0"/>
        <v>560477200</v>
      </c>
      <c r="I6" s="236">
        <f t="shared" si="0"/>
        <v>1643000000</v>
      </c>
      <c r="J6" s="236">
        <f t="shared" si="0"/>
        <v>3114333623</v>
      </c>
      <c r="K6" s="236">
        <f t="shared" si="0"/>
        <v>36128521000</v>
      </c>
      <c r="L6" s="236">
        <f t="shared" si="0"/>
        <v>24747497234</v>
      </c>
      <c r="M6" s="236">
        <f t="shared" si="0"/>
        <v>43577040026</v>
      </c>
      <c r="N6" s="236">
        <f t="shared" si="0"/>
        <v>22448251831</v>
      </c>
      <c r="O6" s="236">
        <f t="shared" si="0"/>
        <v>16237481796</v>
      </c>
      <c r="P6" s="236">
        <f t="shared" si="0"/>
        <v>1273282924</v>
      </c>
      <c r="Q6" s="236">
        <f t="shared" si="0"/>
        <v>2894626411</v>
      </c>
      <c r="R6" s="236">
        <f t="shared" si="0"/>
        <v>1290771500</v>
      </c>
      <c r="S6" s="236">
        <f t="shared" si="0"/>
        <v>191672000</v>
      </c>
      <c r="T6" s="236">
        <f t="shared" si="0"/>
        <v>560477200</v>
      </c>
    </row>
    <row r="7" spans="1:28" s="242" customFormat="1" ht="39" customHeight="1" x14ac:dyDescent="0.25">
      <c r="A7" s="262" t="s">
        <v>294</v>
      </c>
      <c r="B7" s="77" t="s">
        <v>295</v>
      </c>
      <c r="C7" s="102">
        <f>SUM(C8:C18)</f>
        <v>58878915267</v>
      </c>
      <c r="D7" s="102">
        <f t="shared" ref="D7:T7" si="1">SUM(D8:D18)</f>
        <v>39029610577</v>
      </c>
      <c r="E7" s="102">
        <f t="shared" si="1"/>
        <v>1896615490</v>
      </c>
      <c r="F7" s="102">
        <f t="shared" si="1"/>
        <v>16015000000</v>
      </c>
      <c r="G7" s="102">
        <f t="shared" si="1"/>
        <v>98112000</v>
      </c>
      <c r="H7" s="102">
        <f t="shared" si="1"/>
        <v>196577200</v>
      </c>
      <c r="I7" s="102">
        <f t="shared" si="1"/>
        <v>1643000000</v>
      </c>
      <c r="J7" s="102">
        <f t="shared" si="1"/>
        <v>3114333623</v>
      </c>
      <c r="K7" s="102">
        <f t="shared" si="1"/>
        <v>32304812000</v>
      </c>
      <c r="L7" s="102">
        <f t="shared" si="1"/>
        <v>23459769644</v>
      </c>
      <c r="M7" s="102">
        <f t="shared" si="1"/>
        <v>41042310219</v>
      </c>
      <c r="N7" s="102">
        <f>SUM(N8:N18)</f>
        <v>17836605048</v>
      </c>
      <c r="O7" s="102">
        <f>SUM(O8:O18)</f>
        <v>12702959741</v>
      </c>
      <c r="P7" s="102">
        <f t="shared" si="1"/>
        <v>653558196</v>
      </c>
      <c r="Q7" s="102">
        <f t="shared" si="1"/>
        <v>2894626411</v>
      </c>
      <c r="R7" s="102">
        <f t="shared" si="1"/>
        <v>1290771500</v>
      </c>
      <c r="S7" s="102">
        <f t="shared" si="1"/>
        <v>98112000</v>
      </c>
      <c r="T7" s="102">
        <f t="shared" si="1"/>
        <v>196577200</v>
      </c>
    </row>
    <row r="8" spans="1:28" s="233" customFormat="1" ht="18.75" x14ac:dyDescent="0.3">
      <c r="A8" s="238">
        <v>133</v>
      </c>
      <c r="B8" s="238"/>
      <c r="C8" s="239">
        <f>D8+E8+F8+G8+H8+I8</f>
        <v>15396869079</v>
      </c>
      <c r="D8" s="220">
        <f>J8+K8+L8</f>
        <v>15396869079</v>
      </c>
      <c r="E8" s="220"/>
      <c r="F8" s="220"/>
      <c r="G8" s="220"/>
      <c r="H8" s="220"/>
      <c r="I8" s="220"/>
      <c r="J8" s="220">
        <v>673269079</v>
      </c>
      <c r="K8" s="220">
        <v>5517000000</v>
      </c>
      <c r="L8" s="220">
        <v>9206600000</v>
      </c>
      <c r="M8" s="220">
        <v>10166254560</v>
      </c>
      <c r="N8" s="220">
        <f>C8-M8</f>
        <v>5230614519</v>
      </c>
      <c r="O8" s="240">
        <f>N8</f>
        <v>5230614519</v>
      </c>
      <c r="P8" s="219"/>
      <c r="Q8" s="219"/>
      <c r="R8" s="219"/>
      <c r="S8" s="219"/>
      <c r="T8" s="219"/>
    </row>
    <row r="9" spans="1:28" s="233" customFormat="1" ht="18.75" x14ac:dyDescent="0.3">
      <c r="A9" s="238">
        <v>374</v>
      </c>
      <c r="B9" s="188"/>
      <c r="C9" s="239">
        <f t="shared" ref="C9:C16" si="2">D9+E9+F9+G9+H9+I9</f>
        <v>210000000</v>
      </c>
      <c r="D9" s="220">
        <f>J9+K9+L9</f>
        <v>210000000</v>
      </c>
      <c r="E9" s="220"/>
      <c r="F9" s="220"/>
      <c r="G9" s="220"/>
      <c r="H9" s="220"/>
      <c r="I9" s="220"/>
      <c r="J9" s="220"/>
      <c r="K9" s="220"/>
      <c r="L9" s="220">
        <v>210000000</v>
      </c>
      <c r="M9" s="220">
        <v>126885000</v>
      </c>
      <c r="N9" s="220">
        <f t="shared" ref="N9:N18" si="3">C9-M9</f>
        <v>83115000</v>
      </c>
      <c r="O9" s="220">
        <f>N9</f>
        <v>83115000</v>
      </c>
      <c r="P9" s="220"/>
      <c r="Q9" s="220"/>
      <c r="R9" s="220"/>
      <c r="S9" s="220"/>
      <c r="T9" s="220"/>
    </row>
    <row r="10" spans="1:28" s="233" customFormat="1" ht="18.75" x14ac:dyDescent="0.3">
      <c r="A10" s="238">
        <v>341</v>
      </c>
      <c r="B10" s="238"/>
      <c r="C10" s="239">
        <f>D10+E10+F10+G10+H10+I10</f>
        <v>530000000</v>
      </c>
      <c r="D10" s="220">
        <v>453700000</v>
      </c>
      <c r="E10" s="220"/>
      <c r="F10" s="220"/>
      <c r="G10" s="220"/>
      <c r="H10" s="220">
        <v>76300000</v>
      </c>
      <c r="I10" s="220"/>
      <c r="J10" s="220"/>
      <c r="K10" s="220">
        <v>530000000</v>
      </c>
      <c r="L10" s="220"/>
      <c r="M10" s="220">
        <v>164480322</v>
      </c>
      <c r="N10" s="220">
        <f t="shared" si="3"/>
        <v>365519678</v>
      </c>
      <c r="O10" s="220">
        <v>289219678</v>
      </c>
      <c r="P10" s="220"/>
      <c r="Q10" s="220"/>
      <c r="R10" s="220"/>
      <c r="T10" s="220">
        <v>76300000</v>
      </c>
    </row>
    <row r="11" spans="1:28" s="233" customFormat="1" ht="18.75" x14ac:dyDescent="0.3">
      <c r="A11" s="238">
        <v>398</v>
      </c>
      <c r="B11" s="238"/>
      <c r="C11" s="239">
        <f t="shared" si="2"/>
        <v>17837219344</v>
      </c>
      <c r="D11" s="220">
        <f>J11+K11+L11</f>
        <v>17837219344</v>
      </c>
      <c r="E11" s="220"/>
      <c r="F11" s="220"/>
      <c r="G11" s="220"/>
      <c r="H11" s="220"/>
      <c r="I11" s="220"/>
      <c r="J11" s="220">
        <v>2205577544</v>
      </c>
      <c r="K11" s="220">
        <v>6494000000</v>
      </c>
      <c r="L11" s="220">
        <v>9137641800</v>
      </c>
      <c r="M11" s="220">
        <v>11935595800</v>
      </c>
      <c r="N11" s="220">
        <f>C11-M11</f>
        <v>5901623544</v>
      </c>
      <c r="O11" s="220">
        <f>N11</f>
        <v>5901623544</v>
      </c>
      <c r="P11" s="220"/>
      <c r="Q11" s="220"/>
      <c r="R11" s="220"/>
      <c r="S11" s="220"/>
      <c r="T11" s="220"/>
    </row>
    <row r="12" spans="1:28" s="233" customFormat="1" ht="18.75" x14ac:dyDescent="0.3">
      <c r="A12" s="238">
        <v>341</v>
      </c>
      <c r="B12" s="238"/>
      <c r="C12" s="239">
        <f t="shared" si="2"/>
        <v>4366822154</v>
      </c>
      <c r="D12" s="220">
        <f>J12+L12</f>
        <v>4366822154</v>
      </c>
      <c r="E12" s="220"/>
      <c r="F12" s="220"/>
      <c r="G12" s="220"/>
      <c r="H12" s="220"/>
      <c r="I12" s="220"/>
      <c r="J12" s="220">
        <v>235487000</v>
      </c>
      <c r="K12" s="220"/>
      <c r="L12" s="220">
        <v>4131335154</v>
      </c>
      <c r="M12" s="220">
        <v>3392535154</v>
      </c>
      <c r="N12" s="220">
        <f>C12-M12</f>
        <v>974287000</v>
      </c>
      <c r="O12" s="220">
        <f>C12-M12</f>
        <v>974287000</v>
      </c>
      <c r="P12" s="220"/>
      <c r="Q12" s="220"/>
      <c r="R12" s="220"/>
      <c r="S12" s="220"/>
      <c r="T12" s="220"/>
    </row>
    <row r="13" spans="1:28" s="233" customFormat="1" ht="18.75" x14ac:dyDescent="0.3">
      <c r="A13" s="238">
        <v>121</v>
      </c>
      <c r="B13" s="238"/>
      <c r="C13" s="239">
        <f t="shared" si="2"/>
        <v>765000000</v>
      </c>
      <c r="D13" s="220">
        <f>J13+K13+L13</f>
        <v>765000000</v>
      </c>
      <c r="E13" s="220"/>
      <c r="F13" s="220"/>
      <c r="G13" s="220"/>
      <c r="H13" s="220"/>
      <c r="I13" s="220"/>
      <c r="J13" s="220"/>
      <c r="K13" s="220"/>
      <c r="L13" s="220">
        <v>765000000</v>
      </c>
      <c r="M13" s="220">
        <v>540900000</v>
      </c>
      <c r="N13" s="220">
        <f t="shared" si="3"/>
        <v>224100000</v>
      </c>
      <c r="O13" s="220">
        <f>C13-M13</f>
        <v>224100000</v>
      </c>
      <c r="P13" s="220"/>
      <c r="Q13" s="220"/>
      <c r="R13" s="220"/>
      <c r="S13" s="220"/>
      <c r="T13" s="220"/>
    </row>
    <row r="14" spans="1:28" s="233" customFormat="1" ht="18.75" x14ac:dyDescent="0.3">
      <c r="A14" s="321" t="s">
        <v>39</v>
      </c>
      <c r="B14" s="238"/>
      <c r="C14" s="239">
        <f>D14+E14+F14+G14+H14+I14</f>
        <v>384772000</v>
      </c>
      <c r="D14" s="220"/>
      <c r="E14" s="220">
        <v>320294800</v>
      </c>
      <c r="F14" s="220"/>
      <c r="G14" s="220"/>
      <c r="H14" s="220">
        <v>64477200</v>
      </c>
      <c r="I14" s="220"/>
      <c r="J14" s="220"/>
      <c r="K14" s="220">
        <v>384772000</v>
      </c>
      <c r="L14" s="220"/>
      <c r="M14" s="220">
        <v>98243920</v>
      </c>
      <c r="N14" s="220">
        <f t="shared" si="3"/>
        <v>286528080</v>
      </c>
      <c r="O14" s="220"/>
      <c r="P14" s="220">
        <v>222050880</v>
      </c>
      <c r="Q14" s="220"/>
      <c r="R14" s="220"/>
      <c r="S14" s="220"/>
      <c r="T14" s="220">
        <v>64477200</v>
      </c>
    </row>
    <row r="15" spans="1:28" s="233" customFormat="1" ht="18.75" x14ac:dyDescent="0.3">
      <c r="A15" s="238">
        <v>341</v>
      </c>
      <c r="B15" s="238"/>
      <c r="C15" s="239">
        <f t="shared" si="2"/>
        <v>1390232690</v>
      </c>
      <c r="D15" s="220"/>
      <c r="E15" s="220">
        <v>1292120690</v>
      </c>
      <c r="F15" s="220"/>
      <c r="G15" s="220">
        <v>98112000</v>
      </c>
      <c r="H15" s="220"/>
      <c r="I15" s="220"/>
      <c r="J15" s="220"/>
      <c r="K15" s="220">
        <v>1381040000</v>
      </c>
      <c r="L15" s="220">
        <f>L22</f>
        <v>9192690</v>
      </c>
      <c r="M15" s="220">
        <v>1007055734</v>
      </c>
      <c r="N15" s="220">
        <f t="shared" si="3"/>
        <v>383176956</v>
      </c>
      <c r="O15" s="220"/>
      <c r="P15" s="220">
        <v>285064956</v>
      </c>
      <c r="Q15" s="220"/>
      <c r="R15" s="220"/>
      <c r="S15" s="220">
        <v>98112000</v>
      </c>
      <c r="T15" s="220"/>
    </row>
    <row r="16" spans="1:28" s="233" customFormat="1" ht="18.75" x14ac:dyDescent="0.3">
      <c r="A16" s="238">
        <v>341</v>
      </c>
      <c r="B16" s="238"/>
      <c r="C16" s="239">
        <f t="shared" si="2"/>
        <v>340000000</v>
      </c>
      <c r="D16" s="220"/>
      <c r="E16" s="220">
        <v>284200000</v>
      </c>
      <c r="F16" s="220"/>
      <c r="G16" s="220"/>
      <c r="H16" s="220">
        <v>55800000</v>
      </c>
      <c r="I16" s="220"/>
      <c r="J16" s="220"/>
      <c r="K16" s="220">
        <v>340000000</v>
      </c>
      <c r="L16" s="220"/>
      <c r="M16" s="220">
        <v>137757640</v>
      </c>
      <c r="N16" s="220">
        <f t="shared" si="3"/>
        <v>202242360</v>
      </c>
      <c r="O16" s="220"/>
      <c r="P16" s="220">
        <v>146442360</v>
      </c>
      <c r="Q16" s="220"/>
      <c r="R16" s="220"/>
      <c r="S16" s="220"/>
      <c r="T16" s="220">
        <v>55800000</v>
      </c>
    </row>
    <row r="17" spans="1:20" s="233" customFormat="1" ht="18.75" x14ac:dyDescent="0.3">
      <c r="A17" s="238">
        <v>133</v>
      </c>
      <c r="B17" s="238"/>
      <c r="C17" s="239">
        <f>I17</f>
        <v>1643000000</v>
      </c>
      <c r="D17" s="220"/>
      <c r="E17" s="220"/>
      <c r="F17" s="220"/>
      <c r="G17" s="220"/>
      <c r="H17" s="220"/>
      <c r="I17" s="220">
        <v>1643000000</v>
      </c>
      <c r="J17" s="220"/>
      <c r="K17" s="220">
        <f>I17</f>
        <v>1643000000</v>
      </c>
      <c r="L17" s="220"/>
      <c r="M17" s="220">
        <v>352228500</v>
      </c>
      <c r="N17" s="220">
        <f t="shared" si="3"/>
        <v>1290771500</v>
      </c>
      <c r="O17" s="220"/>
      <c r="P17" s="220"/>
      <c r="Q17" s="220"/>
      <c r="R17" s="220">
        <f>N17</f>
        <v>1290771500</v>
      </c>
      <c r="S17" s="220"/>
      <c r="T17" s="220"/>
    </row>
    <row r="18" spans="1:20" s="233" customFormat="1" ht="18.75" x14ac:dyDescent="0.3">
      <c r="A18" s="238">
        <v>371</v>
      </c>
      <c r="B18" s="238"/>
      <c r="C18" s="239">
        <f>F18</f>
        <v>16015000000</v>
      </c>
      <c r="D18" s="220"/>
      <c r="E18" s="220"/>
      <c r="F18" s="220">
        <v>16015000000</v>
      </c>
      <c r="G18" s="220"/>
      <c r="H18" s="220"/>
      <c r="I18" s="220"/>
      <c r="J18" s="220"/>
      <c r="K18" s="220">
        <f>F18</f>
        <v>16015000000</v>
      </c>
      <c r="L18" s="220"/>
      <c r="M18" s="220">
        <v>13120373589</v>
      </c>
      <c r="N18" s="220">
        <f t="shared" si="3"/>
        <v>2894626411</v>
      </c>
      <c r="O18" s="220"/>
      <c r="P18" s="220"/>
      <c r="Q18" s="220">
        <f>N18</f>
        <v>2894626411</v>
      </c>
      <c r="R18" s="220"/>
      <c r="S18" s="220"/>
      <c r="T18" s="220"/>
    </row>
    <row r="19" spans="1:20" s="242" customFormat="1" ht="39.75" customHeight="1" x14ac:dyDescent="0.25">
      <c r="A19" s="262" t="s">
        <v>302</v>
      </c>
      <c r="B19" s="76" t="s">
        <v>303</v>
      </c>
      <c r="C19" s="86">
        <f>SUM(C20:C33)</f>
        <v>7146376590</v>
      </c>
      <c r="D19" s="86">
        <f t="shared" ref="D19:T19" si="4">SUM(D20:D33)</f>
        <v>4828374900</v>
      </c>
      <c r="E19" s="86">
        <f t="shared" si="4"/>
        <v>1860541690</v>
      </c>
      <c r="F19" s="86">
        <f t="shared" si="4"/>
        <v>0</v>
      </c>
      <c r="G19" s="86">
        <f t="shared" si="4"/>
        <v>93560000</v>
      </c>
      <c r="H19" s="86">
        <f t="shared" si="4"/>
        <v>363900000</v>
      </c>
      <c r="I19" s="86">
        <f t="shared" si="4"/>
        <v>0</v>
      </c>
      <c r="J19" s="86">
        <f t="shared" si="4"/>
        <v>0</v>
      </c>
      <c r="K19" s="86">
        <f t="shared" si="4"/>
        <v>3823709000</v>
      </c>
      <c r="L19" s="86">
        <f t="shared" si="4"/>
        <v>1287727590</v>
      </c>
      <c r="M19" s="86">
        <f t="shared" si="4"/>
        <v>2534729807</v>
      </c>
      <c r="N19" s="86">
        <f t="shared" si="4"/>
        <v>4611646783</v>
      </c>
      <c r="O19" s="86">
        <f t="shared" si="4"/>
        <v>3534522055</v>
      </c>
      <c r="P19" s="86">
        <f t="shared" si="4"/>
        <v>619724728</v>
      </c>
      <c r="Q19" s="86">
        <f t="shared" si="4"/>
        <v>0</v>
      </c>
      <c r="R19" s="86">
        <f t="shared" si="4"/>
        <v>0</v>
      </c>
      <c r="S19" s="86">
        <f t="shared" si="4"/>
        <v>93560000</v>
      </c>
      <c r="T19" s="86">
        <f t="shared" si="4"/>
        <v>363900000</v>
      </c>
    </row>
    <row r="20" spans="1:20" s="233" customFormat="1" ht="24" customHeight="1" x14ac:dyDescent="0.3">
      <c r="A20" s="238">
        <v>261</v>
      </c>
      <c r="B20" s="238"/>
      <c r="C20" s="239">
        <f>SUM(D20:I20)</f>
        <v>150000000</v>
      </c>
      <c r="D20" s="220"/>
      <c r="E20" s="220">
        <v>133600000</v>
      </c>
      <c r="F20" s="220"/>
      <c r="G20" s="220"/>
      <c r="H20" s="220">
        <v>16400000</v>
      </c>
      <c r="I20" s="220"/>
      <c r="J20" s="220"/>
      <c r="K20" s="220">
        <v>150000000</v>
      </c>
      <c r="L20" s="220"/>
      <c r="M20" s="220">
        <v>0</v>
      </c>
      <c r="N20" s="220">
        <f>C20-M20</f>
        <v>150000000</v>
      </c>
      <c r="O20" s="220"/>
      <c r="P20" s="220">
        <v>133600000</v>
      </c>
      <c r="Q20" s="220"/>
      <c r="R20" s="220"/>
      <c r="S20" s="220"/>
      <c r="T20" s="220">
        <f t="shared" ref="T20:T33" si="5">H20</f>
        <v>16400000</v>
      </c>
    </row>
    <row r="21" spans="1:20" s="233" customFormat="1" ht="18.75" x14ac:dyDescent="0.3">
      <c r="A21" s="238">
        <v>292</v>
      </c>
      <c r="B21" s="238"/>
      <c r="C21" s="239">
        <f t="shared" ref="C21:C33" si="6">SUM(D21:I21)</f>
        <v>200000000</v>
      </c>
      <c r="D21" s="220"/>
      <c r="E21" s="220">
        <v>180000000</v>
      </c>
      <c r="F21" s="220"/>
      <c r="G21" s="220"/>
      <c r="H21" s="220">
        <v>20000000</v>
      </c>
      <c r="I21" s="220"/>
      <c r="J21" s="220"/>
      <c r="K21" s="220"/>
      <c r="L21" s="220"/>
      <c r="M21" s="220"/>
      <c r="N21" s="220">
        <f t="shared" ref="N21:N33" si="7">C21-M21</f>
        <v>200000000</v>
      </c>
      <c r="O21" s="220"/>
      <c r="P21" s="220">
        <f>E21</f>
        <v>180000000</v>
      </c>
      <c r="Q21" s="220"/>
      <c r="R21" s="220"/>
      <c r="S21" s="220"/>
      <c r="T21" s="220">
        <f t="shared" si="5"/>
        <v>20000000</v>
      </c>
    </row>
    <row r="22" spans="1:20" s="233" customFormat="1" ht="18.75" x14ac:dyDescent="0.3">
      <c r="A22" s="238">
        <v>341</v>
      </c>
      <c r="B22" s="238"/>
      <c r="C22" s="239">
        <f t="shared" si="6"/>
        <v>1320901690</v>
      </c>
      <c r="D22" s="220"/>
      <c r="E22" s="220">
        <v>1227341690</v>
      </c>
      <c r="F22" s="220"/>
      <c r="G22" s="220">
        <v>93560000</v>
      </c>
      <c r="H22" s="220"/>
      <c r="I22" s="220"/>
      <c r="J22" s="220"/>
      <c r="K22" s="220">
        <v>1311709000</v>
      </c>
      <c r="L22" s="220">
        <v>9192690</v>
      </c>
      <c r="M22" s="220">
        <v>1074811480</v>
      </c>
      <c r="N22" s="220">
        <f>C22-M22</f>
        <v>246090210</v>
      </c>
      <c r="O22" s="220"/>
      <c r="P22" s="220">
        <v>152530210</v>
      </c>
      <c r="Q22" s="220"/>
      <c r="R22" s="220"/>
      <c r="S22" s="220">
        <v>93560000</v>
      </c>
      <c r="T22" s="220">
        <f t="shared" si="5"/>
        <v>0</v>
      </c>
    </row>
    <row r="23" spans="1:20" s="233" customFormat="1" ht="18.75" x14ac:dyDescent="0.3">
      <c r="A23" s="238">
        <v>341</v>
      </c>
      <c r="B23" s="238"/>
      <c r="C23" s="239">
        <f t="shared" si="6"/>
        <v>374000000</v>
      </c>
      <c r="D23" s="220"/>
      <c r="E23" s="220">
        <v>319600000</v>
      </c>
      <c r="F23" s="220"/>
      <c r="G23" s="220"/>
      <c r="H23" s="220">
        <v>54400000</v>
      </c>
      <c r="I23" s="220"/>
      <c r="J23" s="220"/>
      <c r="K23" s="220">
        <f>C23</f>
        <v>374000000</v>
      </c>
      <c r="L23" s="220"/>
      <c r="M23" s="220">
        <v>166005482</v>
      </c>
      <c r="N23" s="220">
        <f t="shared" si="7"/>
        <v>207994518</v>
      </c>
      <c r="O23" s="220"/>
      <c r="P23" s="220">
        <v>153594518</v>
      </c>
      <c r="Q23" s="220"/>
      <c r="R23" s="220"/>
      <c r="S23" s="220"/>
      <c r="T23" s="220">
        <f t="shared" si="5"/>
        <v>54400000</v>
      </c>
    </row>
    <row r="24" spans="1:20" s="233" customFormat="1" ht="18.75" x14ac:dyDescent="0.3">
      <c r="A24" s="238">
        <v>261</v>
      </c>
      <c r="B24" s="238"/>
      <c r="C24" s="239">
        <f t="shared" si="6"/>
        <v>120000000</v>
      </c>
      <c r="D24" s="220">
        <v>97200000</v>
      </c>
      <c r="E24" s="220"/>
      <c r="F24" s="220"/>
      <c r="G24" s="220"/>
      <c r="H24" s="220">
        <v>22800000</v>
      </c>
      <c r="I24" s="220"/>
      <c r="J24" s="220"/>
      <c r="K24" s="220">
        <v>120000000</v>
      </c>
      <c r="L24" s="220"/>
      <c r="M24" s="220"/>
      <c r="N24" s="220">
        <f t="shared" si="7"/>
        <v>120000000</v>
      </c>
      <c r="O24" s="220">
        <f>D24</f>
        <v>97200000</v>
      </c>
      <c r="P24" s="220"/>
      <c r="Q24" s="220"/>
      <c r="R24" s="220"/>
      <c r="S24" s="220"/>
      <c r="T24" s="220">
        <f t="shared" si="5"/>
        <v>22800000</v>
      </c>
    </row>
    <row r="25" spans="1:20" s="233" customFormat="1" ht="18.75" x14ac:dyDescent="0.3">
      <c r="A25" s="238">
        <v>281</v>
      </c>
      <c r="B25" s="238"/>
      <c r="C25" s="239">
        <f t="shared" si="6"/>
        <v>258400000</v>
      </c>
      <c r="D25" s="220">
        <v>248400000</v>
      </c>
      <c r="E25" s="220"/>
      <c r="F25" s="220"/>
      <c r="G25" s="220"/>
      <c r="H25" s="220">
        <v>10000000</v>
      </c>
      <c r="I25" s="220"/>
      <c r="J25" s="220"/>
      <c r="K25" s="220">
        <v>196000000</v>
      </c>
      <c r="L25" s="220">
        <v>62460000</v>
      </c>
      <c r="M25" s="220">
        <v>194810000</v>
      </c>
      <c r="N25" s="220">
        <f t="shared" si="7"/>
        <v>63590000</v>
      </c>
      <c r="O25" s="220">
        <v>53650000</v>
      </c>
      <c r="P25" s="220"/>
      <c r="Q25" s="220"/>
      <c r="R25" s="220"/>
      <c r="S25" s="220"/>
      <c r="T25" s="220">
        <f t="shared" si="5"/>
        <v>10000000</v>
      </c>
    </row>
    <row r="26" spans="1:20" s="233" customFormat="1" ht="18.75" x14ac:dyDescent="0.3">
      <c r="A26" s="238">
        <v>283</v>
      </c>
      <c r="B26" s="238"/>
      <c r="C26" s="239">
        <f t="shared" si="6"/>
        <v>170000000</v>
      </c>
      <c r="D26" s="220">
        <v>137700000</v>
      </c>
      <c r="E26" s="220"/>
      <c r="F26" s="220"/>
      <c r="G26" s="220"/>
      <c r="H26" s="220">
        <v>32300000</v>
      </c>
      <c r="I26" s="220"/>
      <c r="J26" s="220"/>
      <c r="K26" s="220"/>
      <c r="L26" s="220"/>
      <c r="M26" s="220"/>
      <c r="N26" s="220">
        <f t="shared" si="7"/>
        <v>170000000</v>
      </c>
      <c r="O26" s="220">
        <f>D26</f>
        <v>137700000</v>
      </c>
      <c r="P26" s="220"/>
      <c r="Q26" s="220"/>
      <c r="R26" s="220"/>
      <c r="S26" s="220"/>
      <c r="T26" s="220">
        <f t="shared" si="5"/>
        <v>32300000</v>
      </c>
    </row>
    <row r="27" spans="1:20" s="233" customFormat="1" ht="18.75" x14ac:dyDescent="0.3">
      <c r="A27" s="238">
        <v>312</v>
      </c>
      <c r="B27" s="238"/>
      <c r="C27" s="239">
        <f t="shared" si="6"/>
        <v>1200000000</v>
      </c>
      <c r="D27" s="220">
        <v>1080000000</v>
      </c>
      <c r="E27" s="220"/>
      <c r="F27" s="220"/>
      <c r="G27" s="220"/>
      <c r="H27" s="220">
        <v>120000000</v>
      </c>
      <c r="I27" s="220"/>
      <c r="J27" s="220"/>
      <c r="K27" s="220">
        <f>C27</f>
        <v>1200000000</v>
      </c>
      <c r="L27" s="220"/>
      <c r="M27" s="220">
        <v>243402366</v>
      </c>
      <c r="N27" s="220">
        <f t="shared" si="7"/>
        <v>956597634</v>
      </c>
      <c r="O27" s="220">
        <v>836597634</v>
      </c>
      <c r="P27" s="220"/>
      <c r="Q27" s="220"/>
      <c r="R27" s="220"/>
      <c r="S27" s="220"/>
      <c r="T27" s="220">
        <f t="shared" si="5"/>
        <v>120000000</v>
      </c>
    </row>
    <row r="28" spans="1:20" s="233" customFormat="1" ht="18.75" x14ac:dyDescent="0.3">
      <c r="A28" s="238">
        <v>338</v>
      </c>
      <c r="B28" s="238"/>
      <c r="C28" s="239">
        <f t="shared" si="6"/>
        <v>1665000000</v>
      </c>
      <c r="D28" s="220">
        <v>1585000000</v>
      </c>
      <c r="E28" s="220"/>
      <c r="F28" s="220"/>
      <c r="G28" s="220"/>
      <c r="H28" s="220">
        <v>80000000</v>
      </c>
      <c r="I28" s="220"/>
      <c r="J28" s="220"/>
      <c r="K28" s="220"/>
      <c r="L28" s="220"/>
      <c r="M28" s="220"/>
      <c r="N28" s="220">
        <f t="shared" si="7"/>
        <v>1665000000</v>
      </c>
      <c r="O28" s="220">
        <f>D28</f>
        <v>1585000000</v>
      </c>
      <c r="P28" s="220"/>
      <c r="Q28" s="220"/>
      <c r="R28" s="220"/>
      <c r="S28" s="220"/>
      <c r="T28" s="220">
        <f t="shared" si="5"/>
        <v>80000000</v>
      </c>
    </row>
    <row r="29" spans="1:20" s="28" customFormat="1" x14ac:dyDescent="0.25">
      <c r="A29" s="238">
        <v>108</v>
      </c>
      <c r="B29" s="238"/>
      <c r="C29" s="239">
        <f t="shared" si="6"/>
        <v>35000000</v>
      </c>
      <c r="D29" s="220">
        <v>35000000</v>
      </c>
      <c r="E29" s="220"/>
      <c r="F29" s="220"/>
      <c r="G29" s="220"/>
      <c r="H29" s="220"/>
      <c r="I29" s="220"/>
      <c r="J29" s="220"/>
      <c r="K29" s="220">
        <f>D29</f>
        <v>35000000</v>
      </c>
      <c r="L29" s="220"/>
      <c r="M29" s="220">
        <v>35000000</v>
      </c>
      <c r="N29" s="220">
        <f t="shared" si="7"/>
        <v>0</v>
      </c>
      <c r="O29" s="220">
        <f>N29</f>
        <v>0</v>
      </c>
      <c r="P29" s="220"/>
      <c r="Q29" s="220"/>
      <c r="R29" s="220"/>
      <c r="S29" s="220"/>
      <c r="T29" s="220">
        <f t="shared" si="5"/>
        <v>0</v>
      </c>
    </row>
    <row r="30" spans="1:20" s="28" customFormat="1" x14ac:dyDescent="0.25">
      <c r="A30" s="238">
        <v>133</v>
      </c>
      <c r="B30" s="238"/>
      <c r="C30" s="241">
        <f t="shared" si="6"/>
        <v>1356695700</v>
      </c>
      <c r="D30" s="220">
        <v>1356695700</v>
      </c>
      <c r="E30" s="220"/>
      <c r="F30" s="220"/>
      <c r="G30" s="220"/>
      <c r="H30" s="220"/>
      <c r="I30" s="220"/>
      <c r="J30" s="220"/>
      <c r="K30" s="220">
        <v>337000000</v>
      </c>
      <c r="L30" s="220">
        <v>1019695700</v>
      </c>
      <c r="M30" s="220">
        <v>624639600</v>
      </c>
      <c r="N30" s="220">
        <f t="shared" si="7"/>
        <v>732056100</v>
      </c>
      <c r="O30" s="220">
        <f>N30</f>
        <v>732056100</v>
      </c>
      <c r="P30" s="220"/>
      <c r="Q30" s="220"/>
      <c r="R30" s="220"/>
      <c r="S30" s="220"/>
      <c r="T30" s="220">
        <f t="shared" si="5"/>
        <v>0</v>
      </c>
    </row>
    <row r="31" spans="1:20" s="28" customFormat="1" x14ac:dyDescent="0.25">
      <c r="A31" s="238">
        <v>341</v>
      </c>
      <c r="B31" s="238"/>
      <c r="C31" s="241">
        <f t="shared" si="6"/>
        <v>80000000</v>
      </c>
      <c r="D31" s="220">
        <v>72000000</v>
      </c>
      <c r="E31" s="220"/>
      <c r="F31" s="220"/>
      <c r="G31" s="220"/>
      <c r="H31" s="220">
        <v>8000000</v>
      </c>
      <c r="I31" s="220"/>
      <c r="J31" s="220"/>
      <c r="K31" s="220">
        <f>C31</f>
        <v>80000000</v>
      </c>
      <c r="L31" s="220"/>
      <c r="M31" s="220"/>
      <c r="N31" s="220">
        <f t="shared" si="7"/>
        <v>80000000</v>
      </c>
      <c r="O31" s="220">
        <f>D31</f>
        <v>72000000</v>
      </c>
      <c r="P31" s="220"/>
      <c r="Q31" s="220"/>
      <c r="R31" s="220"/>
      <c r="S31" s="220"/>
      <c r="T31" s="220">
        <f t="shared" si="5"/>
        <v>8000000</v>
      </c>
    </row>
    <row r="32" spans="1:20" s="28" customFormat="1" x14ac:dyDescent="0.25">
      <c r="A32" s="238">
        <v>398</v>
      </c>
      <c r="B32" s="238"/>
      <c r="C32" s="241">
        <f t="shared" si="6"/>
        <v>32000000</v>
      </c>
      <c r="D32" s="220">
        <v>32000000</v>
      </c>
      <c r="E32" s="220"/>
      <c r="F32" s="220"/>
      <c r="G32" s="220"/>
      <c r="H32" s="220"/>
      <c r="I32" s="220"/>
      <c r="J32" s="220"/>
      <c r="K32" s="220">
        <v>20000000</v>
      </c>
      <c r="L32" s="220">
        <v>12000000</v>
      </c>
      <c r="M32" s="220">
        <v>12000000</v>
      </c>
      <c r="N32" s="220">
        <f t="shared" si="7"/>
        <v>20000000</v>
      </c>
      <c r="O32" s="220">
        <v>20000000</v>
      </c>
      <c r="P32" s="220"/>
      <c r="Q32" s="220"/>
      <c r="R32" s="220"/>
      <c r="S32" s="220"/>
      <c r="T32" s="220">
        <f t="shared" si="5"/>
        <v>0</v>
      </c>
    </row>
    <row r="33" spans="1:20" s="28" customFormat="1" x14ac:dyDescent="0.25">
      <c r="A33" s="238">
        <v>341</v>
      </c>
      <c r="B33" s="238"/>
      <c r="C33" s="241">
        <f t="shared" si="6"/>
        <v>184379200</v>
      </c>
      <c r="D33" s="220">
        <v>184379200</v>
      </c>
      <c r="E33" s="220"/>
      <c r="F33" s="220"/>
      <c r="G33" s="220"/>
      <c r="H33" s="220"/>
      <c r="I33" s="220"/>
      <c r="J33" s="220"/>
      <c r="K33" s="220"/>
      <c r="L33" s="220">
        <f>D33</f>
        <v>184379200</v>
      </c>
      <c r="M33" s="220">
        <v>184060879</v>
      </c>
      <c r="N33" s="220">
        <f t="shared" si="7"/>
        <v>318321</v>
      </c>
      <c r="O33" s="220">
        <f>N33</f>
        <v>318321</v>
      </c>
      <c r="P33" s="220"/>
      <c r="Q33" s="220"/>
      <c r="R33" s="220"/>
      <c r="S33" s="220"/>
      <c r="T33" s="220">
        <f t="shared" si="5"/>
        <v>0</v>
      </c>
    </row>
  </sheetData>
  <mergeCells count="16">
    <mergeCell ref="M3:M5"/>
    <mergeCell ref="N3:T4"/>
    <mergeCell ref="J3:L3"/>
    <mergeCell ref="A3:A4"/>
    <mergeCell ref="D3:I3"/>
    <mergeCell ref="B4:B5"/>
    <mergeCell ref="C4:C5"/>
    <mergeCell ref="D4:D5"/>
    <mergeCell ref="E4:E5"/>
    <mergeCell ref="F4:F5"/>
    <mergeCell ref="G4:G5"/>
    <mergeCell ref="H4:H5"/>
    <mergeCell ref="I4:I5"/>
    <mergeCell ref="J4:J5"/>
    <mergeCell ref="K4:K5"/>
    <mergeCell ref="L4:L5"/>
  </mergeCells>
  <pageMargins left="0.7" right="0.7" top="0.75" bottom="0.75" header="0.3" footer="0.3"/>
  <pageSetup paperSize="8"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4" sqref="A4:XFD5"/>
    </sheetView>
  </sheetViews>
  <sheetFormatPr defaultRowHeight="15.7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3"/>
  <sheetViews>
    <sheetView tabSelected="1" view="pageBreakPreview" zoomScale="130" zoomScaleNormal="100" zoomScaleSheetLayoutView="130" workbookViewId="0">
      <selection activeCell="F13" sqref="F13"/>
    </sheetView>
  </sheetViews>
  <sheetFormatPr defaultRowHeight="15.75" x14ac:dyDescent="0.25"/>
  <cols>
    <col min="1" max="1" width="2.875" style="188" customWidth="1"/>
    <col min="2" max="2" width="3" style="188" customWidth="1"/>
    <col min="3" max="3" width="3.125" style="188" customWidth="1"/>
    <col min="4" max="4" width="3.25" style="188" customWidth="1"/>
    <col min="5" max="5" width="3.625" style="188" customWidth="1"/>
    <col min="6" max="6" width="27.125" style="137" customWidth="1"/>
    <col min="7" max="7" width="9" style="137" customWidth="1"/>
    <col min="8" max="8" width="9.625" style="137" customWidth="1"/>
    <col min="9" max="9" width="11.875" style="138" customWidth="1"/>
    <col min="10" max="10" width="11.5" style="138" hidden="1" customWidth="1"/>
    <col min="11" max="11" width="10.125" style="138" hidden="1" customWidth="1"/>
    <col min="12" max="12" width="10.625" style="138" hidden="1" customWidth="1"/>
    <col min="13" max="13" width="10.875" style="138" hidden="1" customWidth="1"/>
    <col min="14" max="14" width="9.875" style="138" hidden="1" customWidth="1"/>
    <col min="15" max="15" width="9" style="138" hidden="1" customWidth="1"/>
    <col min="16" max="16" width="8.875" style="138" hidden="1" customWidth="1"/>
    <col min="17" max="17" width="9" style="138" hidden="1" customWidth="1"/>
    <col min="18" max="18" width="6.375" style="138" hidden="1" customWidth="1"/>
    <col min="19" max="19" width="12" style="138" hidden="1" customWidth="1"/>
    <col min="20" max="20" width="11.625" style="138" customWidth="1"/>
    <col min="21" max="21" width="10.5" style="187" customWidth="1"/>
    <col min="22" max="22" width="11.5" style="138" customWidth="1"/>
    <col min="23" max="23" width="11.75" style="138" customWidth="1"/>
    <col min="24" max="24" width="3.875" style="137" customWidth="1"/>
    <col min="25" max="25" width="4.125" style="137" customWidth="1"/>
    <col min="26" max="26" width="11.125" style="137" customWidth="1"/>
    <col min="27" max="27" width="11.875" style="137" customWidth="1"/>
    <col min="28" max="28" width="10.75" style="137" customWidth="1"/>
    <col min="29" max="29" width="12.625" style="137" customWidth="1"/>
    <col min="30" max="30" width="10.25" style="137" customWidth="1"/>
    <col min="31" max="31" width="8.625" style="137" customWidth="1"/>
    <col min="32" max="32" width="10.75" style="138" customWidth="1"/>
    <col min="33" max="33" width="9.375" style="138" customWidth="1"/>
    <col min="34" max="34" width="9" style="27"/>
  </cols>
  <sheetData>
    <row r="1" spans="1:34" s="72" customFormat="1" ht="17.25" x14ac:dyDescent="0.25">
      <c r="A1" s="300" t="s">
        <v>133</v>
      </c>
      <c r="B1" s="300"/>
      <c r="C1" s="300"/>
      <c r="D1" s="300"/>
      <c r="E1" s="300"/>
      <c r="F1" s="300"/>
      <c r="G1" s="300"/>
      <c r="H1" s="300"/>
      <c r="I1" s="300"/>
      <c r="J1" s="300"/>
      <c r="K1" s="300"/>
      <c r="L1" s="300"/>
      <c r="M1" s="300"/>
      <c r="N1" s="300"/>
      <c r="O1" s="300"/>
      <c r="P1" s="300"/>
      <c r="Q1" s="300"/>
      <c r="R1" s="300"/>
      <c r="S1" s="300"/>
      <c r="T1" s="300"/>
      <c r="U1" s="300"/>
      <c r="V1" s="300"/>
      <c r="W1" s="300"/>
      <c r="X1" s="300"/>
      <c r="Y1" s="300"/>
      <c r="Z1" s="300"/>
      <c r="AA1" s="300"/>
      <c r="AB1" s="300"/>
    </row>
    <row r="2" spans="1:34" s="72" customFormat="1" ht="17.25" x14ac:dyDescent="0.25">
      <c r="A2" s="301" t="s">
        <v>318</v>
      </c>
      <c r="B2" s="301"/>
      <c r="C2" s="301"/>
      <c r="D2" s="301"/>
      <c r="E2" s="301"/>
      <c r="F2" s="301"/>
      <c r="G2" s="301"/>
      <c r="H2" s="301"/>
      <c r="I2" s="301"/>
      <c r="J2" s="301"/>
      <c r="K2" s="301"/>
      <c r="L2" s="301"/>
      <c r="M2" s="301"/>
      <c r="N2" s="301"/>
      <c r="O2" s="301"/>
      <c r="P2" s="301"/>
      <c r="Q2" s="301"/>
      <c r="R2" s="301"/>
      <c r="S2" s="301"/>
      <c r="T2" s="301"/>
      <c r="U2" s="301"/>
      <c r="V2" s="301"/>
      <c r="W2" s="301"/>
      <c r="X2" s="301"/>
      <c r="Y2" s="301"/>
      <c r="Z2" s="301"/>
      <c r="AA2" s="301"/>
      <c r="AB2" s="301"/>
    </row>
    <row r="3" spans="1:34" s="28" customFormat="1" ht="12" customHeight="1" x14ac:dyDescent="0.25">
      <c r="A3" s="52"/>
      <c r="B3" s="52"/>
      <c r="C3" s="52"/>
      <c r="D3" s="52"/>
      <c r="E3" s="52"/>
      <c r="F3" s="53"/>
      <c r="G3" s="53"/>
      <c r="H3" s="53"/>
      <c r="I3" s="54"/>
      <c r="J3" s="54"/>
      <c r="K3" s="54"/>
      <c r="L3" s="54"/>
      <c r="M3" s="54"/>
      <c r="N3" s="54"/>
      <c r="O3" s="54"/>
      <c r="P3" s="54"/>
      <c r="Q3" s="54"/>
      <c r="R3" s="54"/>
      <c r="S3" s="54"/>
      <c r="T3" s="54"/>
      <c r="U3" s="201"/>
      <c r="V3" s="54"/>
      <c r="W3" s="54"/>
      <c r="X3" s="53"/>
      <c r="Y3" s="53"/>
      <c r="Z3" s="53"/>
      <c r="AA3" s="53"/>
      <c r="AB3" s="53"/>
      <c r="AC3" s="53"/>
      <c r="AD3" s="53"/>
      <c r="AE3" s="53"/>
      <c r="AF3" s="54"/>
      <c r="AG3" s="71"/>
      <c r="AH3" s="27"/>
    </row>
    <row r="4" spans="1:34" s="23" customFormat="1" ht="30.75" customHeight="1" x14ac:dyDescent="0.25">
      <c r="A4" s="310" t="s">
        <v>0</v>
      </c>
      <c r="B4" s="310" t="s">
        <v>19</v>
      </c>
      <c r="C4" s="310" t="s">
        <v>20</v>
      </c>
      <c r="D4" s="310" t="s">
        <v>21</v>
      </c>
      <c r="E4" s="310"/>
      <c r="F4" s="276" t="s">
        <v>22</v>
      </c>
      <c r="G4" s="276" t="s">
        <v>313</v>
      </c>
      <c r="H4" s="304" t="s">
        <v>29</v>
      </c>
      <c r="I4" s="305"/>
      <c r="J4" s="305"/>
      <c r="K4" s="305"/>
      <c r="L4" s="305"/>
      <c r="M4" s="305"/>
      <c r="N4" s="305"/>
      <c r="O4" s="305"/>
      <c r="P4" s="305"/>
      <c r="Q4" s="305"/>
      <c r="R4" s="305"/>
      <c r="S4" s="306"/>
      <c r="T4" s="307" t="s">
        <v>27</v>
      </c>
      <c r="U4" s="308"/>
      <c r="V4" s="308"/>
      <c r="W4" s="308"/>
      <c r="X4" s="308"/>
      <c r="Y4" s="309"/>
      <c r="Z4" s="265"/>
      <c r="AA4" s="273" t="s">
        <v>28</v>
      </c>
      <c r="AB4" s="273"/>
      <c r="AC4" s="273"/>
      <c r="AD4" s="273"/>
      <c r="AE4" s="273"/>
      <c r="AF4" s="273"/>
      <c r="AG4" s="273"/>
    </row>
    <row r="5" spans="1:34" s="24" customFormat="1" ht="36.75" customHeight="1" x14ac:dyDescent="0.25">
      <c r="A5" s="311"/>
      <c r="B5" s="311"/>
      <c r="C5" s="311"/>
      <c r="D5" s="311"/>
      <c r="E5" s="311"/>
      <c r="F5" s="277"/>
      <c r="G5" s="277"/>
      <c r="H5" s="276" t="s">
        <v>125</v>
      </c>
      <c r="I5" s="302" t="s">
        <v>30</v>
      </c>
      <c r="J5" s="304" t="s">
        <v>31</v>
      </c>
      <c r="K5" s="305"/>
      <c r="L5" s="305"/>
      <c r="M5" s="305"/>
      <c r="N5" s="305"/>
      <c r="O5" s="305"/>
      <c r="P5" s="306"/>
      <c r="Q5" s="304" t="s">
        <v>32</v>
      </c>
      <c r="R5" s="305"/>
      <c r="S5" s="306"/>
      <c r="T5" s="263" t="s">
        <v>33</v>
      </c>
      <c r="U5" s="264" t="s">
        <v>23</v>
      </c>
      <c r="V5" s="264" t="s">
        <v>24</v>
      </c>
      <c r="W5" s="264" t="s">
        <v>71</v>
      </c>
      <c r="X5" s="269" t="s">
        <v>25</v>
      </c>
      <c r="Y5" s="268" t="s">
        <v>26</v>
      </c>
      <c r="Z5" s="263" t="s">
        <v>72</v>
      </c>
      <c r="AA5" s="263" t="s">
        <v>34</v>
      </c>
      <c r="AB5" s="264" t="s">
        <v>23</v>
      </c>
      <c r="AC5" s="264" t="s">
        <v>24</v>
      </c>
      <c r="AD5" s="264" t="s">
        <v>71</v>
      </c>
      <c r="AE5" s="264" t="s">
        <v>25</v>
      </c>
      <c r="AF5" s="263" t="s">
        <v>26</v>
      </c>
      <c r="AG5" s="263" t="s">
        <v>72</v>
      </c>
      <c r="AH5" s="29"/>
    </row>
    <row r="6" spans="1:34" s="24" customFormat="1" ht="18" x14ac:dyDescent="0.25">
      <c r="A6" s="312"/>
      <c r="B6" s="312"/>
      <c r="C6" s="312"/>
      <c r="D6" s="312"/>
      <c r="E6" s="312"/>
      <c r="F6" s="278"/>
      <c r="G6" s="278"/>
      <c r="H6" s="278"/>
      <c r="I6" s="303"/>
      <c r="J6" s="263" t="s">
        <v>58</v>
      </c>
      <c r="K6" s="263" t="s">
        <v>23</v>
      </c>
      <c r="L6" s="263" t="s">
        <v>24</v>
      </c>
      <c r="M6" s="263" t="s">
        <v>25</v>
      </c>
      <c r="N6" s="263" t="s">
        <v>26</v>
      </c>
      <c r="O6" s="263" t="s">
        <v>71</v>
      </c>
      <c r="P6" s="263" t="s">
        <v>72</v>
      </c>
      <c r="Q6" s="263" t="s">
        <v>58</v>
      </c>
      <c r="R6" s="263" t="s">
        <v>23</v>
      </c>
      <c r="S6" s="263" t="s">
        <v>24</v>
      </c>
      <c r="T6" s="263"/>
      <c r="U6" s="74"/>
      <c r="V6" s="75"/>
      <c r="W6" s="75"/>
      <c r="X6" s="75"/>
      <c r="Y6" s="75"/>
      <c r="Z6" s="75"/>
      <c r="AA6" s="75"/>
      <c r="AB6" s="262"/>
      <c r="AC6" s="262"/>
      <c r="AD6" s="262"/>
      <c r="AE6" s="262"/>
      <c r="AF6" s="75"/>
      <c r="AG6" s="75"/>
      <c r="AH6" s="29"/>
    </row>
    <row r="7" spans="1:34" s="24" customFormat="1" ht="20.25" customHeight="1" x14ac:dyDescent="0.25">
      <c r="A7" s="297" t="s">
        <v>271</v>
      </c>
      <c r="B7" s="298"/>
      <c r="C7" s="298"/>
      <c r="D7" s="298"/>
      <c r="E7" s="298"/>
      <c r="F7" s="299"/>
      <c r="G7" s="246">
        <f t="shared" ref="G7:AG7" si="0">G8+G17+G18+G30+G39+G46+G67+G95+G96+G106+G107+G108+G109+G110+G111+G115+G117+G118+G120+G121+G122</f>
        <v>58878915267</v>
      </c>
      <c r="H7" s="246">
        <f t="shared" si="0"/>
        <v>3114333623</v>
      </c>
      <c r="I7" s="246">
        <f t="shared" si="0"/>
        <v>55764581644</v>
      </c>
      <c r="J7" s="246">
        <f t="shared" si="0"/>
        <v>32304812000</v>
      </c>
      <c r="K7" s="246">
        <f t="shared" si="0"/>
        <v>1887422800</v>
      </c>
      <c r="L7" s="246">
        <f t="shared" si="0"/>
        <v>12464700000</v>
      </c>
      <c r="M7" s="246">
        <f t="shared" si="0"/>
        <v>98112000</v>
      </c>
      <c r="N7" s="246">
        <f t="shared" si="0"/>
        <v>196577200</v>
      </c>
      <c r="O7" s="246">
        <f t="shared" si="0"/>
        <v>16015000000</v>
      </c>
      <c r="P7" s="246">
        <f t="shared" si="0"/>
        <v>1643000000</v>
      </c>
      <c r="Q7" s="246">
        <f t="shared" si="0"/>
        <v>23459769644</v>
      </c>
      <c r="R7" s="246">
        <f t="shared" si="0"/>
        <v>9192690</v>
      </c>
      <c r="S7" s="246">
        <f t="shared" si="0"/>
        <v>23450576954</v>
      </c>
      <c r="T7" s="246">
        <f t="shared" si="0"/>
        <v>43607336925</v>
      </c>
      <c r="U7" s="246">
        <f t="shared" si="0"/>
        <v>1246380100</v>
      </c>
      <c r="V7" s="246">
        <f t="shared" si="0"/>
        <v>28699591436</v>
      </c>
      <c r="W7" s="246">
        <f t="shared" si="0"/>
        <v>13120373589</v>
      </c>
      <c r="X7" s="246">
        <f t="shared" si="0"/>
        <v>0</v>
      </c>
      <c r="Y7" s="246">
        <f t="shared" si="0"/>
        <v>0</v>
      </c>
      <c r="Z7" s="246">
        <f t="shared" si="0"/>
        <v>540991800</v>
      </c>
      <c r="AA7" s="246">
        <f>AA8+AA17+AA18+AA30+AA39+AA46+AA67+AA95+AA96+AA106+AA107+AA108+AA109+AA110+AA111+AA115+AA117+AA118+AA120+AA121+AA122</f>
        <v>15271578342</v>
      </c>
      <c r="AB7" s="246">
        <f t="shared" si="0"/>
        <v>650235390</v>
      </c>
      <c r="AC7" s="246">
        <f t="shared" si="0"/>
        <v>10330019141</v>
      </c>
      <c r="AD7" s="246">
        <f t="shared" si="0"/>
        <v>2894626411</v>
      </c>
      <c r="AE7" s="246">
        <f t="shared" si="0"/>
        <v>98112000</v>
      </c>
      <c r="AF7" s="246">
        <f t="shared" si="0"/>
        <v>196577200</v>
      </c>
      <c r="AG7" s="246">
        <f t="shared" si="0"/>
        <v>1102008200</v>
      </c>
      <c r="AH7" s="29"/>
    </row>
    <row r="8" spans="1:34" s="24" customFormat="1" ht="21" customHeight="1" x14ac:dyDescent="0.25">
      <c r="A8" s="262">
        <v>1</v>
      </c>
      <c r="B8" s="262">
        <v>832</v>
      </c>
      <c r="C8" s="262">
        <v>130</v>
      </c>
      <c r="D8" s="262">
        <v>133</v>
      </c>
      <c r="E8" s="262"/>
      <c r="F8" s="76" t="s">
        <v>7</v>
      </c>
      <c r="G8" s="255">
        <f>H8+I8</f>
        <v>15396869079</v>
      </c>
      <c r="H8" s="77">
        <v>673269079</v>
      </c>
      <c r="I8" s="77">
        <f t="shared" ref="I8:P8" si="1">SUM(I9:I16)</f>
        <v>14723600000</v>
      </c>
      <c r="J8" s="77">
        <f t="shared" si="1"/>
        <v>5517000000</v>
      </c>
      <c r="K8" s="77">
        <f t="shared" si="1"/>
        <v>0</v>
      </c>
      <c r="L8" s="77">
        <f t="shared" si="1"/>
        <v>5517000000</v>
      </c>
      <c r="M8" s="77">
        <f t="shared" si="1"/>
        <v>0</v>
      </c>
      <c r="N8" s="77">
        <f t="shared" si="1"/>
        <v>0</v>
      </c>
      <c r="O8" s="77">
        <f t="shared" si="1"/>
        <v>0</v>
      </c>
      <c r="P8" s="77">
        <f t="shared" si="1"/>
        <v>0</v>
      </c>
      <c r="Q8" s="77">
        <f>R8+S8</f>
        <v>9206600000</v>
      </c>
      <c r="R8" s="77"/>
      <c r="S8" s="77">
        <f>SUM(S9:S16)</f>
        <v>9206600000</v>
      </c>
      <c r="T8" s="77">
        <f>SUM(T9:T16)</f>
        <v>12429182160</v>
      </c>
      <c r="U8" s="77">
        <f>SUM(U9:U16)</f>
        <v>0</v>
      </c>
      <c r="V8" s="77">
        <f>SUM(V9:V16)</f>
        <v>12429182160</v>
      </c>
      <c r="W8" s="77"/>
      <c r="X8" s="77">
        <f>SUM(X9:X16)</f>
        <v>0</v>
      </c>
      <c r="Y8" s="77">
        <f>SUM(Y9:Y16)</f>
        <v>0</v>
      </c>
      <c r="Z8" s="77"/>
      <c r="AA8" s="77">
        <f t="shared" ref="AA8:AG8" si="2">SUM(AA9:AA16)</f>
        <v>2967686919</v>
      </c>
      <c r="AB8" s="77">
        <f t="shared" si="2"/>
        <v>0</v>
      </c>
      <c r="AC8" s="77">
        <f t="shared" si="2"/>
        <v>2967686919</v>
      </c>
      <c r="AD8" s="77">
        <f t="shared" si="2"/>
        <v>0</v>
      </c>
      <c r="AE8" s="77">
        <f t="shared" si="2"/>
        <v>0</v>
      </c>
      <c r="AF8" s="77">
        <f t="shared" si="2"/>
        <v>0</v>
      </c>
      <c r="AG8" s="77">
        <f t="shared" si="2"/>
        <v>0</v>
      </c>
      <c r="AH8" s="29"/>
    </row>
    <row r="9" spans="1:34" s="31" customFormat="1" ht="22.5" customHeight="1" x14ac:dyDescent="0.25">
      <c r="A9" s="202"/>
      <c r="B9" s="202"/>
      <c r="C9" s="202"/>
      <c r="D9" s="78">
        <v>133</v>
      </c>
      <c r="E9" s="78">
        <v>6302</v>
      </c>
      <c r="F9" s="79" t="s">
        <v>35</v>
      </c>
      <c r="G9" s="322">
        <f t="shared" ref="G9:G72" si="3">H9+I9</f>
        <v>3508000000</v>
      </c>
      <c r="H9" s="79"/>
      <c r="I9" s="80">
        <f t="shared" ref="I9:I17" si="4">J9+S9</f>
        <v>3508000000</v>
      </c>
      <c r="J9" s="80">
        <f>K9+L9+M9+N9</f>
        <v>2808000000</v>
      </c>
      <c r="K9" s="80"/>
      <c r="L9" s="80">
        <v>2808000000</v>
      </c>
      <c r="M9" s="80"/>
      <c r="N9" s="81"/>
      <c r="O9" s="81"/>
      <c r="P9" s="81"/>
      <c r="Q9" s="80">
        <f t="shared" ref="Q9:Q72" si="5">R9+S9</f>
        <v>700000000</v>
      </c>
      <c r="R9" s="81"/>
      <c r="S9" s="81">
        <v>700000000</v>
      </c>
      <c r="T9" s="81">
        <f>810915300+798640200+840195000</f>
        <v>2449750500</v>
      </c>
      <c r="U9" s="82"/>
      <c r="V9" s="81">
        <f>T9</f>
        <v>2449750500</v>
      </c>
      <c r="W9" s="81"/>
      <c r="X9" s="81"/>
      <c r="Y9" s="81"/>
      <c r="Z9" s="81"/>
      <c r="AA9" s="81">
        <f>G9-T9</f>
        <v>1058249500</v>
      </c>
      <c r="AB9" s="78"/>
      <c r="AC9" s="83">
        <f t="shared" ref="AC9:AC16" si="6">AA9</f>
        <v>1058249500</v>
      </c>
      <c r="AD9" s="83"/>
      <c r="AE9" s="78"/>
      <c r="AF9" s="81"/>
      <c r="AG9" s="81"/>
      <c r="AH9" s="30"/>
    </row>
    <row r="10" spans="1:34" s="31" customFormat="1" ht="14.25" customHeight="1" x14ac:dyDescent="0.25">
      <c r="A10" s="78"/>
      <c r="B10" s="78"/>
      <c r="C10" s="78"/>
      <c r="D10" s="78">
        <v>133</v>
      </c>
      <c r="E10" s="78">
        <v>6302</v>
      </c>
      <c r="F10" s="79" t="s">
        <v>36</v>
      </c>
      <c r="G10" s="322">
        <f t="shared" si="3"/>
        <v>6277000000</v>
      </c>
      <c r="H10" s="79"/>
      <c r="I10" s="80">
        <f t="shared" si="4"/>
        <v>6277000000</v>
      </c>
      <c r="J10" s="80">
        <f>K10+L10+M10+N10</f>
        <v>1477000000</v>
      </c>
      <c r="K10" s="80"/>
      <c r="L10" s="80">
        <v>1477000000</v>
      </c>
      <c r="M10" s="80"/>
      <c r="N10" s="81"/>
      <c r="O10" s="81"/>
      <c r="P10" s="81"/>
      <c r="Q10" s="80">
        <f t="shared" si="5"/>
        <v>4800000000</v>
      </c>
      <c r="R10" s="81"/>
      <c r="S10" s="81">
        <v>4800000000</v>
      </c>
      <c r="T10" s="81">
        <v>5963686560</v>
      </c>
      <c r="U10" s="82"/>
      <c r="V10" s="81">
        <f t="shared" ref="V10:V17" si="7">T10</f>
        <v>5963686560</v>
      </c>
      <c r="W10" s="81"/>
      <c r="X10" s="81"/>
      <c r="Y10" s="81"/>
      <c r="Z10" s="81"/>
      <c r="AA10" s="81">
        <f t="shared" ref="AA10:AA16" si="8">G10-T10</f>
        <v>313313440</v>
      </c>
      <c r="AB10" s="78"/>
      <c r="AC10" s="83">
        <f t="shared" si="6"/>
        <v>313313440</v>
      </c>
      <c r="AD10" s="83"/>
      <c r="AE10" s="78"/>
      <c r="AF10" s="81"/>
      <c r="AG10" s="81"/>
      <c r="AH10" s="30"/>
    </row>
    <row r="11" spans="1:34" s="31" customFormat="1" ht="29.25" customHeight="1" x14ac:dyDescent="0.25">
      <c r="A11" s="78"/>
      <c r="B11" s="78"/>
      <c r="C11" s="78"/>
      <c r="D11" s="78">
        <v>133</v>
      </c>
      <c r="E11" s="78">
        <v>6302</v>
      </c>
      <c r="F11" s="79" t="s">
        <v>37</v>
      </c>
      <c r="G11" s="322">
        <f>H11+I11</f>
        <v>1279269079</v>
      </c>
      <c r="H11" s="79">
        <f>H8</f>
        <v>673269079</v>
      </c>
      <c r="I11" s="80">
        <f t="shared" si="4"/>
        <v>606000000</v>
      </c>
      <c r="J11" s="80">
        <f>K11+L11+M11+N11</f>
        <v>606000000</v>
      </c>
      <c r="K11" s="80"/>
      <c r="L11" s="80">
        <v>606000000</v>
      </c>
      <c r="M11" s="80"/>
      <c r="N11" s="81"/>
      <c r="O11" s="81"/>
      <c r="P11" s="81"/>
      <c r="Q11" s="80">
        <f t="shared" si="5"/>
        <v>0</v>
      </c>
      <c r="R11" s="81"/>
      <c r="S11" s="81"/>
      <c r="T11" s="81">
        <f>543032100+132310800+37567800</f>
        <v>712910700</v>
      </c>
      <c r="U11" s="82"/>
      <c r="V11" s="81">
        <f t="shared" si="7"/>
        <v>712910700</v>
      </c>
      <c r="W11" s="81"/>
      <c r="X11" s="81"/>
      <c r="Y11" s="81"/>
      <c r="Z11" s="81"/>
      <c r="AA11" s="81">
        <f t="shared" si="8"/>
        <v>566358379</v>
      </c>
      <c r="AB11" s="78"/>
      <c r="AC11" s="83">
        <f t="shared" si="6"/>
        <v>566358379</v>
      </c>
      <c r="AD11" s="83"/>
      <c r="AE11" s="78"/>
      <c r="AF11" s="81"/>
      <c r="AG11" s="81"/>
      <c r="AH11" s="30"/>
    </row>
    <row r="12" spans="1:34" s="31" customFormat="1" ht="30.75" customHeight="1" x14ac:dyDescent="0.25">
      <c r="A12" s="78"/>
      <c r="B12" s="78"/>
      <c r="C12" s="78"/>
      <c r="D12" s="78">
        <v>133</v>
      </c>
      <c r="E12" s="78">
        <v>6302</v>
      </c>
      <c r="F12" s="79" t="s">
        <v>38</v>
      </c>
      <c r="G12" s="322">
        <f t="shared" si="3"/>
        <v>626000000</v>
      </c>
      <c r="H12" s="79"/>
      <c r="I12" s="80">
        <f t="shared" si="4"/>
        <v>626000000</v>
      </c>
      <c r="J12" s="80">
        <f>K12+L12+M12+N12</f>
        <v>626000000</v>
      </c>
      <c r="K12" s="80"/>
      <c r="L12" s="80">
        <v>626000000</v>
      </c>
      <c r="M12" s="80"/>
      <c r="N12" s="81"/>
      <c r="O12" s="81"/>
      <c r="P12" s="81"/>
      <c r="Q12" s="80">
        <f t="shared" si="5"/>
        <v>0</v>
      </c>
      <c r="R12" s="81"/>
      <c r="S12" s="81"/>
      <c r="T12" s="81">
        <f>5686200+214917300+7041600+229239900</f>
        <v>456885000</v>
      </c>
      <c r="U12" s="82"/>
      <c r="V12" s="81">
        <f t="shared" si="7"/>
        <v>456885000</v>
      </c>
      <c r="W12" s="81"/>
      <c r="X12" s="81"/>
      <c r="Y12" s="81"/>
      <c r="Z12" s="81"/>
      <c r="AA12" s="81">
        <f t="shared" si="8"/>
        <v>169115000</v>
      </c>
      <c r="AB12" s="78"/>
      <c r="AC12" s="83">
        <f t="shared" si="6"/>
        <v>169115000</v>
      </c>
      <c r="AD12" s="83"/>
      <c r="AE12" s="78"/>
      <c r="AF12" s="81"/>
      <c r="AG12" s="81"/>
      <c r="AH12" s="30"/>
    </row>
    <row r="13" spans="1:34" s="31" customFormat="1" ht="27" customHeight="1" x14ac:dyDescent="0.25">
      <c r="A13" s="78"/>
      <c r="B13" s="78"/>
      <c r="C13" s="78"/>
      <c r="D13" s="78">
        <v>133</v>
      </c>
      <c r="E13" s="78">
        <v>6302</v>
      </c>
      <c r="F13" s="84" t="s">
        <v>117</v>
      </c>
      <c r="G13" s="322">
        <f t="shared" si="3"/>
        <v>3000000000</v>
      </c>
      <c r="H13" s="84"/>
      <c r="I13" s="80">
        <f t="shared" si="4"/>
        <v>3000000000</v>
      </c>
      <c r="J13" s="80"/>
      <c r="K13" s="80"/>
      <c r="L13" s="80"/>
      <c r="M13" s="80"/>
      <c r="N13" s="81"/>
      <c r="O13" s="81"/>
      <c r="P13" s="81"/>
      <c r="Q13" s="80">
        <f t="shared" si="5"/>
        <v>3000000000</v>
      </c>
      <c r="R13" s="81"/>
      <c r="S13" s="81">
        <v>3000000000</v>
      </c>
      <c r="T13" s="81">
        <f>1484203500+825304500</f>
        <v>2309508000</v>
      </c>
      <c r="U13" s="82"/>
      <c r="V13" s="81">
        <f t="shared" si="7"/>
        <v>2309508000</v>
      </c>
      <c r="W13" s="81"/>
      <c r="X13" s="81"/>
      <c r="Y13" s="81"/>
      <c r="Z13" s="81"/>
      <c r="AA13" s="81">
        <f t="shared" si="8"/>
        <v>690492000</v>
      </c>
      <c r="AB13" s="78"/>
      <c r="AC13" s="83">
        <f t="shared" si="6"/>
        <v>690492000</v>
      </c>
      <c r="AD13" s="83"/>
      <c r="AE13" s="78"/>
      <c r="AF13" s="81"/>
      <c r="AG13" s="81"/>
      <c r="AH13" s="30"/>
    </row>
    <row r="14" spans="1:34" s="31" customFormat="1" ht="19.5" customHeight="1" x14ac:dyDescent="0.25">
      <c r="A14" s="78"/>
      <c r="B14" s="78"/>
      <c r="C14" s="78"/>
      <c r="D14" s="78">
        <v>133</v>
      </c>
      <c r="E14" s="78">
        <v>6302</v>
      </c>
      <c r="F14" s="84" t="s">
        <v>118</v>
      </c>
      <c r="G14" s="322">
        <f t="shared" si="3"/>
        <v>4000000</v>
      </c>
      <c r="H14" s="84"/>
      <c r="I14" s="80">
        <f t="shared" si="4"/>
        <v>4000000</v>
      </c>
      <c r="J14" s="80"/>
      <c r="K14" s="80"/>
      <c r="L14" s="80"/>
      <c r="M14" s="80"/>
      <c r="N14" s="81"/>
      <c r="O14" s="81"/>
      <c r="P14" s="81"/>
      <c r="Q14" s="80">
        <f t="shared" si="5"/>
        <v>4000000</v>
      </c>
      <c r="R14" s="81"/>
      <c r="S14" s="81">
        <v>4000000</v>
      </c>
      <c r="T14" s="81">
        <f>1895400+1707750</f>
        <v>3603150</v>
      </c>
      <c r="U14" s="82"/>
      <c r="V14" s="81">
        <f t="shared" si="7"/>
        <v>3603150</v>
      </c>
      <c r="W14" s="81"/>
      <c r="X14" s="81"/>
      <c r="Y14" s="81"/>
      <c r="Z14" s="81"/>
      <c r="AA14" s="81">
        <f t="shared" si="8"/>
        <v>396850</v>
      </c>
      <c r="AB14" s="78"/>
      <c r="AC14" s="83">
        <f t="shared" si="6"/>
        <v>396850</v>
      </c>
      <c r="AD14" s="83"/>
      <c r="AE14" s="78"/>
      <c r="AF14" s="81"/>
      <c r="AG14" s="81"/>
      <c r="AH14" s="30"/>
    </row>
    <row r="15" spans="1:34" s="31" customFormat="1" ht="27.75" customHeight="1" x14ac:dyDescent="0.25">
      <c r="A15" s="78"/>
      <c r="B15" s="78"/>
      <c r="C15" s="78"/>
      <c r="D15" s="78">
        <v>133</v>
      </c>
      <c r="E15" s="78">
        <v>6302</v>
      </c>
      <c r="F15" s="84" t="s">
        <v>119</v>
      </c>
      <c r="G15" s="322">
        <f t="shared" si="3"/>
        <v>700000000</v>
      </c>
      <c r="H15" s="84"/>
      <c r="I15" s="80">
        <f t="shared" si="4"/>
        <v>700000000</v>
      </c>
      <c r="J15" s="80"/>
      <c r="K15" s="80"/>
      <c r="L15" s="80"/>
      <c r="M15" s="80"/>
      <c r="N15" s="81"/>
      <c r="O15" s="81"/>
      <c r="P15" s="81"/>
      <c r="Q15" s="80">
        <f t="shared" si="5"/>
        <v>700000000</v>
      </c>
      <c r="R15" s="81"/>
      <c r="S15" s="81">
        <v>700000000</v>
      </c>
      <c r="T15" s="81">
        <f>342646200+189218700</f>
        <v>531864900</v>
      </c>
      <c r="U15" s="82"/>
      <c r="V15" s="81">
        <f t="shared" si="7"/>
        <v>531864900</v>
      </c>
      <c r="W15" s="81"/>
      <c r="X15" s="81"/>
      <c r="Y15" s="81"/>
      <c r="Z15" s="81"/>
      <c r="AA15" s="81">
        <f t="shared" si="8"/>
        <v>168135100</v>
      </c>
      <c r="AB15" s="78"/>
      <c r="AC15" s="83">
        <f t="shared" si="6"/>
        <v>168135100</v>
      </c>
      <c r="AD15" s="83"/>
      <c r="AE15" s="78"/>
      <c r="AF15" s="81"/>
      <c r="AG15" s="81"/>
      <c r="AH15" s="30"/>
    </row>
    <row r="16" spans="1:34" s="31" customFormat="1" ht="16.5" customHeight="1" x14ac:dyDescent="0.25">
      <c r="A16" s="78"/>
      <c r="B16" s="78"/>
      <c r="C16" s="78"/>
      <c r="D16" s="78">
        <v>133</v>
      </c>
      <c r="E16" s="78">
        <v>6302</v>
      </c>
      <c r="F16" s="84" t="s">
        <v>120</v>
      </c>
      <c r="G16" s="322">
        <f t="shared" si="3"/>
        <v>2600000</v>
      </c>
      <c r="H16" s="84"/>
      <c r="I16" s="80">
        <f t="shared" si="4"/>
        <v>2600000</v>
      </c>
      <c r="J16" s="80"/>
      <c r="K16" s="80"/>
      <c r="L16" s="80"/>
      <c r="M16" s="80"/>
      <c r="N16" s="81"/>
      <c r="O16" s="81"/>
      <c r="P16" s="81"/>
      <c r="Q16" s="80">
        <f t="shared" si="5"/>
        <v>2600000</v>
      </c>
      <c r="R16" s="81"/>
      <c r="S16" s="81">
        <v>2600000</v>
      </c>
      <c r="T16" s="81">
        <f>631800+341550</f>
        <v>973350</v>
      </c>
      <c r="U16" s="82"/>
      <c r="V16" s="81">
        <f t="shared" si="7"/>
        <v>973350</v>
      </c>
      <c r="W16" s="81"/>
      <c r="X16" s="81"/>
      <c r="Y16" s="81"/>
      <c r="Z16" s="81"/>
      <c r="AA16" s="81">
        <f t="shared" si="8"/>
        <v>1626650</v>
      </c>
      <c r="AB16" s="78"/>
      <c r="AC16" s="83">
        <f t="shared" si="6"/>
        <v>1626650</v>
      </c>
      <c r="AD16" s="83"/>
      <c r="AE16" s="78"/>
      <c r="AF16" s="81"/>
      <c r="AG16" s="81"/>
      <c r="AH16" s="30"/>
    </row>
    <row r="17" spans="1:34" s="24" customFormat="1" ht="23.25" customHeight="1" x14ac:dyDescent="0.25">
      <c r="A17" s="262"/>
      <c r="B17" s="262">
        <v>832</v>
      </c>
      <c r="C17" s="262">
        <v>370</v>
      </c>
      <c r="D17" s="262">
        <v>374</v>
      </c>
      <c r="E17" s="262">
        <v>6301</v>
      </c>
      <c r="F17" s="85" t="s">
        <v>116</v>
      </c>
      <c r="G17" s="255">
        <f t="shared" si="3"/>
        <v>210000000</v>
      </c>
      <c r="H17" s="85"/>
      <c r="I17" s="77">
        <f t="shared" si="4"/>
        <v>210000000</v>
      </c>
      <c r="J17" s="77"/>
      <c r="K17" s="77"/>
      <c r="L17" s="77"/>
      <c r="M17" s="77"/>
      <c r="N17" s="75"/>
      <c r="O17" s="75"/>
      <c r="P17" s="75"/>
      <c r="Q17" s="77">
        <f t="shared" si="5"/>
        <v>210000000</v>
      </c>
      <c r="R17" s="75"/>
      <c r="S17" s="75">
        <v>210000000</v>
      </c>
      <c r="T17" s="75">
        <f>126885000+66693000</f>
        <v>193578000</v>
      </c>
      <c r="U17" s="74"/>
      <c r="V17" s="75">
        <f t="shared" si="7"/>
        <v>193578000</v>
      </c>
      <c r="W17" s="75"/>
      <c r="X17" s="75"/>
      <c r="Y17" s="75"/>
      <c r="Z17" s="75"/>
      <c r="AA17" s="75">
        <f t="shared" ref="AA17" si="9">I17-T17</f>
        <v>16422000</v>
      </c>
      <c r="AB17" s="262"/>
      <c r="AC17" s="86">
        <f>AA17</f>
        <v>16422000</v>
      </c>
      <c r="AD17" s="262"/>
      <c r="AE17" s="262"/>
      <c r="AF17" s="75"/>
      <c r="AG17" s="75"/>
      <c r="AH17" s="29"/>
    </row>
    <row r="18" spans="1:34" s="24" customFormat="1" ht="24" customHeight="1" x14ac:dyDescent="0.25">
      <c r="A18" s="262">
        <v>2</v>
      </c>
      <c r="B18" s="262">
        <v>832</v>
      </c>
      <c r="C18" s="87" t="s">
        <v>45</v>
      </c>
      <c r="D18" s="128" t="s">
        <v>39</v>
      </c>
      <c r="E18" s="128"/>
      <c r="F18" s="88" t="s">
        <v>40</v>
      </c>
      <c r="G18" s="255">
        <f>H18+I18</f>
        <v>384772000</v>
      </c>
      <c r="H18" s="88"/>
      <c r="I18" s="77">
        <f>SUM(I19:I24)-I21</f>
        <v>384772000</v>
      </c>
      <c r="J18" s="77">
        <f>J19+J21+J24</f>
        <v>384772000</v>
      </c>
      <c r="K18" s="77">
        <f>K19+K22+K24+K23</f>
        <v>320294800</v>
      </c>
      <c r="L18" s="77">
        <f>L19+L21+L24</f>
        <v>0</v>
      </c>
      <c r="M18" s="77">
        <f>M19+M21+M24</f>
        <v>0</v>
      </c>
      <c r="N18" s="77">
        <f>N19+N21+N24</f>
        <v>64477200</v>
      </c>
      <c r="O18" s="77">
        <f>O19+O21+O24</f>
        <v>0</v>
      </c>
      <c r="P18" s="77">
        <f>P19+P21+P24</f>
        <v>0</v>
      </c>
      <c r="Q18" s="77">
        <f t="shared" si="5"/>
        <v>0</v>
      </c>
      <c r="R18" s="77"/>
      <c r="S18" s="77">
        <f>S19+S21+S24</f>
        <v>0</v>
      </c>
      <c r="T18" s="77">
        <f>T19+T21+T24</f>
        <v>98243920</v>
      </c>
      <c r="U18" s="77">
        <f>U19+U21+U24</f>
        <v>98243920</v>
      </c>
      <c r="V18" s="77">
        <f>V19+V21+V24</f>
        <v>0</v>
      </c>
      <c r="W18" s="77"/>
      <c r="X18" s="77">
        <f>X19+X21+X24</f>
        <v>0</v>
      </c>
      <c r="Y18" s="77">
        <f>Y19+Y21+Y24</f>
        <v>0</v>
      </c>
      <c r="Z18" s="77"/>
      <c r="AA18" s="77">
        <f>AA19+AA21+AA24</f>
        <v>286528080</v>
      </c>
      <c r="AB18" s="77">
        <f>AB19+AB22+AB23+AB24</f>
        <v>222050880</v>
      </c>
      <c r="AC18" s="77">
        <f>AC19+AC21+AC24</f>
        <v>0</v>
      </c>
      <c r="AD18" s="77">
        <f>AD19+AD21+AD24</f>
        <v>0</v>
      </c>
      <c r="AE18" s="77">
        <f>AE19+AE21+AE24</f>
        <v>0</v>
      </c>
      <c r="AF18" s="77">
        <f>AF19+AF21+AF24+AF22+AF23</f>
        <v>64477200</v>
      </c>
      <c r="AG18" s="77">
        <f>AG19+AG21+AG24</f>
        <v>0</v>
      </c>
      <c r="AH18" s="29"/>
    </row>
    <row r="19" spans="1:34" s="19" customFormat="1" ht="30.75" customHeight="1" x14ac:dyDescent="0.25">
      <c r="A19" s="78"/>
      <c r="B19" s="78"/>
      <c r="C19" s="78"/>
      <c r="D19" s="89" t="s">
        <v>39</v>
      </c>
      <c r="E19" s="89"/>
      <c r="F19" s="79" t="str">
        <f>'[2]DT CHI 2026'!$B$33</f>
        <v>Chi hoạt động sự nghiệp giáo dục của Phòng văn hóa - xã hội xã, phường (3% KP hoạt đồng của trường)</v>
      </c>
      <c r="G19" s="322">
        <f t="shared" si="3"/>
        <v>184772000</v>
      </c>
      <c r="H19" s="79"/>
      <c r="I19" s="80">
        <f>J19+S19</f>
        <v>184772000</v>
      </c>
      <c r="J19" s="80">
        <v>184772000</v>
      </c>
      <c r="K19" s="90">
        <f>J19-N19</f>
        <v>153794800</v>
      </c>
      <c r="L19" s="91"/>
      <c r="M19" s="80"/>
      <c r="N19" s="90">
        <f>18477200+12500000</f>
        <v>30977200</v>
      </c>
      <c r="O19" s="90"/>
      <c r="P19" s="90"/>
      <c r="Q19" s="77">
        <f t="shared" si="5"/>
        <v>0</v>
      </c>
      <c r="R19" s="90"/>
      <c r="S19" s="81"/>
      <c r="T19" s="81">
        <v>40308940</v>
      </c>
      <c r="U19" s="81">
        <f>T19</f>
        <v>40308940</v>
      </c>
      <c r="V19" s="81"/>
      <c r="W19" s="81"/>
      <c r="X19" s="81"/>
      <c r="Y19" s="81"/>
      <c r="Z19" s="81"/>
      <c r="AA19" s="81">
        <f>I19-T19</f>
        <v>144463060</v>
      </c>
      <c r="AB19" s="83">
        <f>K19-T19</f>
        <v>113485860</v>
      </c>
      <c r="AC19" s="83"/>
      <c r="AD19" s="83"/>
      <c r="AE19" s="78"/>
      <c r="AF19" s="81">
        <f>N19</f>
        <v>30977200</v>
      </c>
      <c r="AG19" s="81"/>
      <c r="AH19" s="32"/>
    </row>
    <row r="20" spans="1:34" s="19" customFormat="1" ht="21" customHeight="1" x14ac:dyDescent="0.25">
      <c r="A20" s="78"/>
      <c r="B20" s="78"/>
      <c r="C20" s="78"/>
      <c r="D20" s="89" t="s">
        <v>39</v>
      </c>
      <c r="E20" s="89">
        <v>7049</v>
      </c>
      <c r="F20" s="79" t="s">
        <v>214</v>
      </c>
      <c r="G20" s="255">
        <f t="shared" si="3"/>
        <v>0</v>
      </c>
      <c r="H20" s="79"/>
      <c r="I20" s="80"/>
      <c r="J20" s="80"/>
      <c r="K20" s="90"/>
      <c r="L20" s="91"/>
      <c r="M20" s="80"/>
      <c r="N20" s="90"/>
      <c r="O20" s="90"/>
      <c r="P20" s="90"/>
      <c r="Q20" s="77">
        <f t="shared" si="5"/>
        <v>0</v>
      </c>
      <c r="R20" s="90"/>
      <c r="S20" s="81"/>
      <c r="T20" s="81">
        <f>T19</f>
        <v>40308940</v>
      </c>
      <c r="U20" s="81">
        <f>T20</f>
        <v>40308940</v>
      </c>
      <c r="V20" s="81"/>
      <c r="W20" s="81"/>
      <c r="X20" s="81"/>
      <c r="Y20" s="81"/>
      <c r="Z20" s="81"/>
      <c r="AA20" s="81"/>
      <c r="AB20" s="83"/>
      <c r="AC20" s="83"/>
      <c r="AD20" s="83"/>
      <c r="AE20" s="78"/>
      <c r="AF20" s="81"/>
      <c r="AG20" s="81"/>
      <c r="AH20" s="32"/>
    </row>
    <row r="21" spans="1:34" s="19" customFormat="1" ht="32.25" customHeight="1" x14ac:dyDescent="0.25">
      <c r="A21" s="78"/>
      <c r="B21" s="78"/>
      <c r="C21" s="78"/>
      <c r="D21" s="89" t="s">
        <v>39</v>
      </c>
      <c r="E21" s="89"/>
      <c r="F21" s="79" t="s">
        <v>41</v>
      </c>
      <c r="G21" s="322">
        <f t="shared" si="3"/>
        <v>50000000</v>
      </c>
      <c r="H21" s="79"/>
      <c r="I21" s="80">
        <f>J21+S21</f>
        <v>50000000</v>
      </c>
      <c r="J21" s="80">
        <v>50000000</v>
      </c>
      <c r="K21" s="90">
        <f>SUBTOTAL(9,K22:K23)</f>
        <v>45000000</v>
      </c>
      <c r="L21" s="91"/>
      <c r="M21" s="80"/>
      <c r="N21" s="90">
        <v>5000000</v>
      </c>
      <c r="O21" s="90"/>
      <c r="P21" s="90"/>
      <c r="Q21" s="77">
        <f t="shared" si="5"/>
        <v>0</v>
      </c>
      <c r="R21" s="90"/>
      <c r="S21" s="81"/>
      <c r="T21" s="81">
        <v>0</v>
      </c>
      <c r="U21" s="82"/>
      <c r="V21" s="81"/>
      <c r="W21" s="81"/>
      <c r="X21" s="81"/>
      <c r="Y21" s="81"/>
      <c r="Z21" s="81"/>
      <c r="AA21" s="81">
        <f>I21-T21</f>
        <v>50000000</v>
      </c>
      <c r="AB21" s="83">
        <f>AB22+AB23</f>
        <v>45000000</v>
      </c>
      <c r="AC21" s="83"/>
      <c r="AD21" s="83"/>
      <c r="AE21" s="78"/>
      <c r="AF21" s="81"/>
      <c r="AG21" s="81"/>
      <c r="AH21" s="32"/>
    </row>
    <row r="22" spans="1:34" s="24" customFormat="1" ht="16.5" customHeight="1" x14ac:dyDescent="0.25">
      <c r="A22" s="129"/>
      <c r="B22" s="78"/>
      <c r="C22" s="78"/>
      <c r="D22" s="89" t="s">
        <v>39</v>
      </c>
      <c r="E22" s="89"/>
      <c r="F22" s="79" t="s">
        <v>42</v>
      </c>
      <c r="G22" s="322">
        <f t="shared" si="3"/>
        <v>20000000</v>
      </c>
      <c r="H22" s="79"/>
      <c r="I22" s="80">
        <f>J22+S22</f>
        <v>20000000</v>
      </c>
      <c r="J22" s="80">
        <f>K22+L22+M22+N22</f>
        <v>20000000</v>
      </c>
      <c r="K22" s="90">
        <v>18000000</v>
      </c>
      <c r="L22" s="91"/>
      <c r="M22" s="130"/>
      <c r="N22" s="90">
        <v>2000000</v>
      </c>
      <c r="O22" s="90"/>
      <c r="P22" s="90"/>
      <c r="Q22" s="77">
        <f t="shared" si="5"/>
        <v>0</v>
      </c>
      <c r="R22" s="90"/>
      <c r="S22" s="81"/>
      <c r="T22" s="81"/>
      <c r="U22" s="78"/>
      <c r="V22" s="131"/>
      <c r="W22" s="81"/>
      <c r="X22" s="131"/>
      <c r="Y22" s="81"/>
      <c r="Z22" s="81"/>
      <c r="AA22" s="81">
        <f>J22</f>
        <v>20000000</v>
      </c>
      <c r="AB22" s="83">
        <f>AA22-AF22</f>
        <v>18000000</v>
      </c>
      <c r="AC22" s="92"/>
      <c r="AD22" s="83"/>
      <c r="AE22" s="78"/>
      <c r="AF22" s="81">
        <v>2000000</v>
      </c>
      <c r="AG22" s="81"/>
      <c r="AH22" s="29"/>
    </row>
    <row r="23" spans="1:34" s="24" customFormat="1" x14ac:dyDescent="0.25">
      <c r="A23" s="129"/>
      <c r="B23" s="78"/>
      <c r="C23" s="78"/>
      <c r="D23" s="89" t="s">
        <v>39</v>
      </c>
      <c r="E23" s="89"/>
      <c r="F23" s="79" t="s">
        <v>43</v>
      </c>
      <c r="G23" s="322">
        <f t="shared" si="3"/>
        <v>30000000</v>
      </c>
      <c r="H23" s="79"/>
      <c r="I23" s="80">
        <f>J23+S23</f>
        <v>30000000</v>
      </c>
      <c r="J23" s="80">
        <f>K23+L23+M23+N23</f>
        <v>30000000</v>
      </c>
      <c r="K23" s="90">
        <v>27000000</v>
      </c>
      <c r="L23" s="91"/>
      <c r="M23" s="130"/>
      <c r="N23" s="90">
        <v>3000000</v>
      </c>
      <c r="O23" s="90"/>
      <c r="P23" s="90"/>
      <c r="Q23" s="77">
        <f t="shared" si="5"/>
        <v>0</v>
      </c>
      <c r="R23" s="90"/>
      <c r="S23" s="81"/>
      <c r="T23" s="81"/>
      <c r="U23" s="78"/>
      <c r="V23" s="131"/>
      <c r="W23" s="81"/>
      <c r="X23" s="131"/>
      <c r="Y23" s="81"/>
      <c r="Z23" s="81"/>
      <c r="AA23" s="81">
        <f>J23</f>
        <v>30000000</v>
      </c>
      <c r="AB23" s="83">
        <f>AA23-AF23</f>
        <v>27000000</v>
      </c>
      <c r="AC23" s="92"/>
      <c r="AD23" s="83"/>
      <c r="AE23" s="78"/>
      <c r="AF23" s="81">
        <v>3000000</v>
      </c>
      <c r="AG23" s="81"/>
      <c r="AH23" s="29"/>
    </row>
    <row r="24" spans="1:34" s="19" customFormat="1" ht="21" customHeight="1" x14ac:dyDescent="0.25">
      <c r="A24" s="78"/>
      <c r="B24" s="78"/>
      <c r="C24" s="78"/>
      <c r="D24" s="89" t="s">
        <v>39</v>
      </c>
      <c r="E24" s="91"/>
      <c r="F24" s="79" t="s">
        <v>44</v>
      </c>
      <c r="G24" s="322">
        <f t="shared" si="3"/>
        <v>150000000</v>
      </c>
      <c r="H24" s="79"/>
      <c r="I24" s="80">
        <v>150000000</v>
      </c>
      <c r="J24" s="80">
        <v>150000000</v>
      </c>
      <c r="K24" s="90">
        <f>J24-N24</f>
        <v>121500000</v>
      </c>
      <c r="L24" s="91"/>
      <c r="M24" s="80"/>
      <c r="N24" s="90">
        <f>15000000+13500000</f>
        <v>28500000</v>
      </c>
      <c r="O24" s="90"/>
      <c r="P24" s="90"/>
      <c r="Q24" s="77">
        <f t="shared" si="5"/>
        <v>0</v>
      </c>
      <c r="R24" s="90"/>
      <c r="S24" s="81"/>
      <c r="T24" s="81">
        <f>SUM(T25:T27)</f>
        <v>57934980</v>
      </c>
      <c r="U24" s="81">
        <f>SUM(U25:U27)</f>
        <v>57934980</v>
      </c>
      <c r="V24" s="81"/>
      <c r="W24" s="81"/>
      <c r="X24" s="81"/>
      <c r="Y24" s="81"/>
      <c r="Z24" s="81"/>
      <c r="AA24" s="81">
        <f>I24-T24</f>
        <v>92065020</v>
      </c>
      <c r="AB24" s="83">
        <f>K24-U24</f>
        <v>63565020</v>
      </c>
      <c r="AC24" s="83"/>
      <c r="AD24" s="83"/>
      <c r="AE24" s="78"/>
      <c r="AF24" s="81">
        <f>N24</f>
        <v>28500000</v>
      </c>
      <c r="AG24" s="81"/>
      <c r="AH24" s="32"/>
    </row>
    <row r="25" spans="1:34" s="19" customFormat="1" ht="25.5" customHeight="1" x14ac:dyDescent="0.25">
      <c r="A25" s="78"/>
      <c r="B25" s="78"/>
      <c r="C25" s="78"/>
      <c r="D25" s="89" t="s">
        <v>39</v>
      </c>
      <c r="E25" s="89">
        <v>6912</v>
      </c>
      <c r="F25" s="79" t="s">
        <v>212</v>
      </c>
      <c r="G25" s="255">
        <f t="shared" si="3"/>
        <v>0</v>
      </c>
      <c r="H25" s="79"/>
      <c r="I25" s="80"/>
      <c r="J25" s="80"/>
      <c r="K25" s="90"/>
      <c r="L25" s="91"/>
      <c r="M25" s="80"/>
      <c r="N25" s="90"/>
      <c r="O25" s="90"/>
      <c r="P25" s="90"/>
      <c r="Q25" s="77">
        <f t="shared" si="5"/>
        <v>0</v>
      </c>
      <c r="R25" s="90"/>
      <c r="S25" s="81"/>
      <c r="T25" s="81">
        <v>3502980</v>
      </c>
      <c r="U25" s="93">
        <f>T25</f>
        <v>3502980</v>
      </c>
      <c r="V25" s="81"/>
      <c r="W25" s="81"/>
      <c r="X25" s="81"/>
      <c r="Y25" s="81"/>
      <c r="Z25" s="81"/>
      <c r="AA25" s="81"/>
      <c r="AB25" s="83"/>
      <c r="AC25" s="83"/>
      <c r="AD25" s="83"/>
      <c r="AE25" s="78"/>
      <c r="AF25" s="81"/>
      <c r="AG25" s="81"/>
      <c r="AH25" s="32"/>
    </row>
    <row r="26" spans="1:34" s="19" customFormat="1" ht="25.5" customHeight="1" x14ac:dyDescent="0.25">
      <c r="A26" s="78"/>
      <c r="B26" s="78"/>
      <c r="C26" s="78"/>
      <c r="D26" s="89" t="s">
        <v>39</v>
      </c>
      <c r="E26" s="89">
        <v>6955</v>
      </c>
      <c r="F26" s="79" t="s">
        <v>211</v>
      </c>
      <c r="G26" s="255">
        <f t="shared" si="3"/>
        <v>0</v>
      </c>
      <c r="H26" s="79"/>
      <c r="I26" s="80"/>
      <c r="J26" s="80"/>
      <c r="K26" s="90"/>
      <c r="L26" s="91"/>
      <c r="M26" s="80"/>
      <c r="N26" s="90"/>
      <c r="O26" s="90"/>
      <c r="P26" s="90"/>
      <c r="Q26" s="77">
        <f t="shared" si="5"/>
        <v>0</v>
      </c>
      <c r="R26" s="90"/>
      <c r="S26" s="81"/>
      <c r="T26" s="81">
        <v>49572000</v>
      </c>
      <c r="U26" s="93">
        <f>T26</f>
        <v>49572000</v>
      </c>
      <c r="V26" s="81"/>
      <c r="W26" s="81"/>
      <c r="X26" s="81"/>
      <c r="Y26" s="81"/>
      <c r="Z26" s="81"/>
      <c r="AA26" s="81"/>
      <c r="AB26" s="83"/>
      <c r="AC26" s="83"/>
      <c r="AD26" s="83"/>
      <c r="AE26" s="78"/>
      <c r="AF26" s="81"/>
      <c r="AG26" s="81"/>
      <c r="AH26" s="32"/>
    </row>
    <row r="27" spans="1:34" s="19" customFormat="1" ht="30.75" customHeight="1" x14ac:dyDescent="0.25">
      <c r="A27" s="78"/>
      <c r="B27" s="78"/>
      <c r="C27" s="78"/>
      <c r="D27" s="89" t="s">
        <v>39</v>
      </c>
      <c r="E27" s="89">
        <v>7001</v>
      </c>
      <c r="F27" s="79" t="s">
        <v>213</v>
      </c>
      <c r="G27" s="255">
        <f t="shared" si="3"/>
        <v>0</v>
      </c>
      <c r="H27" s="79"/>
      <c r="I27" s="80"/>
      <c r="J27" s="80"/>
      <c r="K27" s="90"/>
      <c r="L27" s="91"/>
      <c r="M27" s="80"/>
      <c r="N27" s="90"/>
      <c r="O27" s="90"/>
      <c r="P27" s="90"/>
      <c r="Q27" s="77">
        <f t="shared" si="5"/>
        <v>0</v>
      </c>
      <c r="R27" s="90"/>
      <c r="S27" s="81"/>
      <c r="T27" s="81">
        <v>4860000</v>
      </c>
      <c r="U27" s="93">
        <f>T27</f>
        <v>4860000</v>
      </c>
      <c r="V27" s="81"/>
      <c r="W27" s="81"/>
      <c r="X27" s="81"/>
      <c r="Y27" s="81"/>
      <c r="Z27" s="81"/>
      <c r="AA27" s="81"/>
      <c r="AB27" s="83"/>
      <c r="AC27" s="83"/>
      <c r="AD27" s="83"/>
      <c r="AE27" s="78"/>
      <c r="AF27" s="81"/>
      <c r="AG27" s="81"/>
      <c r="AH27" s="32"/>
    </row>
    <row r="28" spans="1:34" s="24" customFormat="1" ht="21.75" customHeight="1" x14ac:dyDescent="0.25">
      <c r="A28" s="262">
        <v>3</v>
      </c>
      <c r="B28" s="262">
        <v>832</v>
      </c>
      <c r="C28" s="262">
        <v>340</v>
      </c>
      <c r="D28" s="262">
        <v>341</v>
      </c>
      <c r="E28" s="262"/>
      <c r="F28" s="85" t="s">
        <v>46</v>
      </c>
      <c r="G28" s="255">
        <f t="shared" si="3"/>
        <v>0</v>
      </c>
      <c r="H28" s="85"/>
      <c r="I28" s="77"/>
      <c r="J28" s="77"/>
      <c r="K28" s="77"/>
      <c r="L28" s="77"/>
      <c r="M28" s="77"/>
      <c r="N28" s="77"/>
      <c r="O28" s="77"/>
      <c r="P28" s="77"/>
      <c r="Q28" s="77">
        <f t="shared" si="5"/>
        <v>0</v>
      </c>
      <c r="R28" s="77"/>
      <c r="S28" s="75"/>
      <c r="T28" s="75"/>
      <c r="U28" s="185"/>
      <c r="V28" s="75"/>
      <c r="W28" s="75"/>
      <c r="X28" s="75"/>
      <c r="Y28" s="75"/>
      <c r="Z28" s="75"/>
      <c r="AA28" s="75"/>
      <c r="AB28" s="262"/>
      <c r="AC28" s="262"/>
      <c r="AD28" s="262"/>
      <c r="AE28" s="262"/>
      <c r="AF28" s="75"/>
      <c r="AG28" s="75"/>
      <c r="AH28" s="29"/>
    </row>
    <row r="29" spans="1:34" s="24" customFormat="1" ht="18.75" customHeight="1" x14ac:dyDescent="0.25">
      <c r="A29" s="262">
        <v>3.1</v>
      </c>
      <c r="B29" s="262">
        <v>832</v>
      </c>
      <c r="C29" s="262">
        <v>340</v>
      </c>
      <c r="D29" s="262">
        <v>341</v>
      </c>
      <c r="E29" s="262"/>
      <c r="F29" s="85" t="s">
        <v>47</v>
      </c>
      <c r="G29" s="255">
        <f t="shared" si="3"/>
        <v>1721040000</v>
      </c>
      <c r="H29" s="85"/>
      <c r="I29" s="77">
        <f>SUM(I30:I39)</f>
        <v>1721040000</v>
      </c>
      <c r="J29" s="77">
        <f t="shared" ref="J29:S29" si="10">SUM(J30:J39)</f>
        <v>1721040000</v>
      </c>
      <c r="K29" s="77">
        <f>SUM(K30:K39)</f>
        <v>2859248690</v>
      </c>
      <c r="L29" s="77">
        <f t="shared" si="10"/>
        <v>0</v>
      </c>
      <c r="M29" s="77">
        <f t="shared" si="10"/>
        <v>98112000</v>
      </c>
      <c r="N29" s="77">
        <f t="shared" si="10"/>
        <v>55800000</v>
      </c>
      <c r="O29" s="77">
        <f t="shared" si="10"/>
        <v>0</v>
      </c>
      <c r="P29" s="77">
        <f t="shared" si="10"/>
        <v>0</v>
      </c>
      <c r="Q29" s="77">
        <f t="shared" si="5"/>
        <v>0</v>
      </c>
      <c r="R29" s="77"/>
      <c r="S29" s="77">
        <f t="shared" si="10"/>
        <v>0</v>
      </c>
      <c r="T29" s="77">
        <f>T30+T39</f>
        <v>1148136180</v>
      </c>
      <c r="U29" s="77">
        <f>U30+U39</f>
        <v>1148136180</v>
      </c>
      <c r="V29" s="77">
        <f>SUM(V30:V39)</f>
        <v>0</v>
      </c>
      <c r="W29" s="77"/>
      <c r="X29" s="77">
        <f>SUM(X30:X39)</f>
        <v>0</v>
      </c>
      <c r="Y29" s="77">
        <f>SUM(Y30:Y39)</f>
        <v>0</v>
      </c>
      <c r="Z29" s="77">
        <f>Z30</f>
        <v>0</v>
      </c>
      <c r="AA29" s="77">
        <f>AA30+AA39</f>
        <v>572903820</v>
      </c>
      <c r="AB29" s="77">
        <f>AB30+AB39</f>
        <v>418991820</v>
      </c>
      <c r="AC29" s="77">
        <f>SUM(AC30:AC39)</f>
        <v>0</v>
      </c>
      <c r="AD29" s="77">
        <f>SUM(AD30:AD39)</f>
        <v>0</v>
      </c>
      <c r="AE29" s="77">
        <v>98112000</v>
      </c>
      <c r="AF29" s="77">
        <f>AF39</f>
        <v>55800000</v>
      </c>
      <c r="AG29" s="77"/>
      <c r="AH29" s="29"/>
    </row>
    <row r="30" spans="1:34" s="24" customFormat="1" ht="17.25" customHeight="1" x14ac:dyDescent="0.25">
      <c r="A30" s="262"/>
      <c r="B30" s="262"/>
      <c r="C30" s="262"/>
      <c r="D30" s="262">
        <v>341</v>
      </c>
      <c r="E30" s="262"/>
      <c r="F30" s="85" t="s">
        <v>4</v>
      </c>
      <c r="G30" s="255">
        <f t="shared" si="3"/>
        <v>1381040000</v>
      </c>
      <c r="H30" s="85"/>
      <c r="I30" s="77">
        <f>J30+S30</f>
        <v>1381040000</v>
      </c>
      <c r="J30" s="77">
        <f>K30+L30+M30+N30</f>
        <v>1381040000</v>
      </c>
      <c r="K30" s="94">
        <v>1282928000</v>
      </c>
      <c r="L30" s="94"/>
      <c r="M30" s="94">
        <v>98112000</v>
      </c>
      <c r="N30" s="94"/>
      <c r="O30" s="94"/>
      <c r="P30" s="94"/>
      <c r="Q30" s="77">
        <f t="shared" si="5"/>
        <v>0</v>
      </c>
      <c r="R30" s="94"/>
      <c r="S30" s="75"/>
      <c r="T30" s="75">
        <f>SUM(T31:T38)</f>
        <v>1010378540</v>
      </c>
      <c r="U30" s="75">
        <f>SUM(U31:U38)</f>
        <v>1010378540</v>
      </c>
      <c r="V30" s="75"/>
      <c r="W30" s="75"/>
      <c r="X30" s="75"/>
      <c r="Y30" s="75"/>
      <c r="Z30" s="75"/>
      <c r="AA30" s="75">
        <f>I30-T30</f>
        <v>370661460</v>
      </c>
      <c r="AB30" s="256">
        <f>K30-U30</f>
        <v>272549460</v>
      </c>
      <c r="AC30" s="262"/>
      <c r="AD30" s="262"/>
      <c r="AE30" s="75">
        <v>98112000</v>
      </c>
      <c r="AF30" s="75"/>
      <c r="AG30" s="75"/>
      <c r="AH30" s="29"/>
    </row>
    <row r="31" spans="1:34" s="19" customFormat="1" ht="19.5" customHeight="1" x14ac:dyDescent="0.25">
      <c r="A31" s="78"/>
      <c r="B31" s="78"/>
      <c r="C31" s="78"/>
      <c r="D31" s="78">
        <v>341</v>
      </c>
      <c r="E31" s="78">
        <v>6001</v>
      </c>
      <c r="F31" s="79" t="s">
        <v>215</v>
      </c>
      <c r="G31" s="255">
        <f t="shared" si="3"/>
        <v>0</v>
      </c>
      <c r="H31" s="79"/>
      <c r="I31" s="80"/>
      <c r="J31" s="80"/>
      <c r="K31" s="90"/>
      <c r="L31" s="90"/>
      <c r="M31" s="90"/>
      <c r="N31" s="90"/>
      <c r="O31" s="90"/>
      <c r="P31" s="90"/>
      <c r="Q31" s="77">
        <f t="shared" si="5"/>
        <v>0</v>
      </c>
      <c r="R31" s="90"/>
      <c r="S31" s="81"/>
      <c r="T31" s="81">
        <f>412125597+71322598+71322597+71322597</f>
        <v>626093389</v>
      </c>
      <c r="U31" s="93">
        <f t="shared" ref="U31:U38" si="11">T31</f>
        <v>626093389</v>
      </c>
      <c r="V31" s="81"/>
      <c r="W31" s="81"/>
      <c r="X31" s="81"/>
      <c r="Y31" s="81"/>
      <c r="Z31" s="81"/>
      <c r="AA31" s="81"/>
      <c r="AB31" s="83"/>
      <c r="AC31" s="78"/>
      <c r="AD31" s="78"/>
      <c r="AE31" s="78"/>
      <c r="AF31" s="81"/>
      <c r="AG31" s="81"/>
      <c r="AH31" s="32"/>
    </row>
    <row r="32" spans="1:34" s="19" customFormat="1" ht="15.75" customHeight="1" x14ac:dyDescent="0.25">
      <c r="A32" s="78"/>
      <c r="B32" s="78"/>
      <c r="C32" s="11"/>
      <c r="D32" s="78">
        <v>341</v>
      </c>
      <c r="E32" s="78">
        <v>6101</v>
      </c>
      <c r="F32" s="95" t="s">
        <v>218</v>
      </c>
      <c r="G32" s="255">
        <f t="shared" si="3"/>
        <v>0</v>
      </c>
      <c r="H32" s="79"/>
      <c r="I32" s="80"/>
      <c r="J32" s="80"/>
      <c r="K32" s="90">
        <f>K30+9192690</f>
        <v>1292120690</v>
      </c>
      <c r="L32" s="90"/>
      <c r="M32" s="90"/>
      <c r="N32" s="90"/>
      <c r="O32" s="90"/>
      <c r="P32" s="90"/>
      <c r="Q32" s="77">
        <f t="shared" si="5"/>
        <v>0</v>
      </c>
      <c r="R32" s="90"/>
      <c r="S32" s="81"/>
      <c r="T32" s="81">
        <f>5717790+915860+915860+915860</f>
        <v>8465370</v>
      </c>
      <c r="U32" s="93">
        <f t="shared" si="11"/>
        <v>8465370</v>
      </c>
      <c r="V32" s="81"/>
      <c r="W32" s="81"/>
      <c r="X32" s="81"/>
      <c r="Y32" s="81"/>
      <c r="Z32" s="81"/>
      <c r="AA32" s="81"/>
      <c r="AB32" s="83"/>
      <c r="AC32" s="78"/>
      <c r="AD32" s="78"/>
      <c r="AE32" s="78"/>
      <c r="AF32" s="81"/>
      <c r="AG32" s="81"/>
      <c r="AH32" s="32"/>
    </row>
    <row r="33" spans="1:34" s="19" customFormat="1" ht="15.75" customHeight="1" x14ac:dyDescent="0.25">
      <c r="A33" s="78"/>
      <c r="B33" s="78"/>
      <c r="C33" s="11"/>
      <c r="D33" s="78">
        <v>341</v>
      </c>
      <c r="E33" s="78">
        <v>6113</v>
      </c>
      <c r="F33" s="46" t="s">
        <v>279</v>
      </c>
      <c r="G33" s="255">
        <f t="shared" si="3"/>
        <v>0</v>
      </c>
      <c r="H33" s="79"/>
      <c r="I33" s="80"/>
      <c r="J33" s="80"/>
      <c r="K33" s="90"/>
      <c r="L33" s="90"/>
      <c r="M33" s="90"/>
      <c r="N33" s="90"/>
      <c r="O33" s="90"/>
      <c r="P33" s="90"/>
      <c r="Q33" s="77">
        <f t="shared" si="5"/>
        <v>0</v>
      </c>
      <c r="R33" s="90"/>
      <c r="S33" s="81"/>
      <c r="T33" s="81">
        <v>253000</v>
      </c>
      <c r="U33" s="93">
        <f t="shared" si="11"/>
        <v>253000</v>
      </c>
      <c r="V33" s="81"/>
      <c r="W33" s="81"/>
      <c r="X33" s="81"/>
      <c r="Y33" s="81"/>
      <c r="Z33" s="81"/>
      <c r="AA33" s="81"/>
      <c r="AB33" s="83"/>
      <c r="AC33" s="78"/>
      <c r="AD33" s="78"/>
      <c r="AE33" s="78"/>
      <c r="AF33" s="81"/>
      <c r="AG33" s="81"/>
      <c r="AH33" s="32"/>
    </row>
    <row r="34" spans="1:34" s="19" customFormat="1" ht="17.25" customHeight="1" x14ac:dyDescent="0.25">
      <c r="A34" s="78"/>
      <c r="B34" s="78"/>
      <c r="C34" s="78"/>
      <c r="D34" s="78">
        <v>341</v>
      </c>
      <c r="E34" s="78">
        <v>6115</v>
      </c>
      <c r="F34" s="79" t="s">
        <v>223</v>
      </c>
      <c r="G34" s="255">
        <f t="shared" si="3"/>
        <v>0</v>
      </c>
      <c r="H34" s="79"/>
      <c r="I34" s="80"/>
      <c r="J34" s="80"/>
      <c r="K34" s="90"/>
      <c r="L34" s="90"/>
      <c r="M34" s="90"/>
      <c r="N34" s="90"/>
      <c r="O34" s="90"/>
      <c r="P34" s="90"/>
      <c r="Q34" s="77">
        <f t="shared" si="5"/>
        <v>0</v>
      </c>
      <c r="R34" s="90"/>
      <c r="S34" s="81"/>
      <c r="T34" s="81">
        <f>6116764+1026221+1026221+1026221</f>
        <v>9195427</v>
      </c>
      <c r="U34" s="93">
        <f t="shared" si="11"/>
        <v>9195427</v>
      </c>
      <c r="V34" s="81"/>
      <c r="W34" s="81"/>
      <c r="X34" s="81"/>
      <c r="Y34" s="81"/>
      <c r="Z34" s="81"/>
      <c r="AA34" s="81"/>
      <c r="AB34" s="83"/>
      <c r="AC34" s="78"/>
      <c r="AD34" s="78"/>
      <c r="AE34" s="78"/>
      <c r="AF34" s="81"/>
      <c r="AG34" s="81"/>
      <c r="AH34" s="32"/>
    </row>
    <row r="35" spans="1:34" s="19" customFormat="1" x14ac:dyDescent="0.25">
      <c r="A35" s="78"/>
      <c r="B35" s="78"/>
      <c r="C35" s="78"/>
      <c r="D35" s="78">
        <v>341</v>
      </c>
      <c r="E35" s="78">
        <v>6124</v>
      </c>
      <c r="F35" s="79" t="s">
        <v>224</v>
      </c>
      <c r="G35" s="255">
        <f t="shared" si="3"/>
        <v>0</v>
      </c>
      <c r="H35" s="79"/>
      <c r="I35" s="80"/>
      <c r="J35" s="80"/>
      <c r="K35" s="90"/>
      <c r="L35" s="90"/>
      <c r="M35" s="90"/>
      <c r="N35" s="90"/>
      <c r="O35" s="90"/>
      <c r="P35" s="90"/>
      <c r="Q35" s="77">
        <f t="shared" si="5"/>
        <v>0</v>
      </c>
      <c r="R35" s="90"/>
      <c r="S35" s="81"/>
      <c r="T35" s="81">
        <f>117116064+20238862+20238862+20238862</f>
        <v>177832650</v>
      </c>
      <c r="U35" s="93">
        <f t="shared" si="11"/>
        <v>177832650</v>
      </c>
      <c r="V35" s="81"/>
      <c r="W35" s="81"/>
      <c r="X35" s="81"/>
      <c r="Y35" s="81"/>
      <c r="Z35" s="81"/>
      <c r="AA35" s="81"/>
      <c r="AB35" s="83"/>
      <c r="AC35" s="78"/>
      <c r="AD35" s="78"/>
      <c r="AE35" s="78"/>
      <c r="AF35" s="81"/>
      <c r="AG35" s="81"/>
      <c r="AH35" s="32"/>
    </row>
    <row r="36" spans="1:34" s="19" customFormat="1" x14ac:dyDescent="0.25">
      <c r="A36" s="78"/>
      <c r="B36" s="78"/>
      <c r="C36" s="78"/>
      <c r="D36" s="78">
        <v>341</v>
      </c>
      <c r="E36" s="78">
        <v>6301</v>
      </c>
      <c r="F36" s="79" t="s">
        <v>226</v>
      </c>
      <c r="G36" s="255">
        <f t="shared" si="3"/>
        <v>0</v>
      </c>
      <c r="H36" s="79"/>
      <c r="I36" s="80"/>
      <c r="J36" s="80"/>
      <c r="K36" s="90"/>
      <c r="L36" s="90"/>
      <c r="M36" s="90"/>
      <c r="N36" s="90"/>
      <c r="O36" s="90"/>
      <c r="P36" s="90"/>
      <c r="Q36" s="77">
        <f t="shared" si="5"/>
        <v>0</v>
      </c>
      <c r="R36" s="90"/>
      <c r="S36" s="81"/>
      <c r="T36" s="81">
        <v>157097687</v>
      </c>
      <c r="U36" s="93">
        <f t="shared" si="11"/>
        <v>157097687</v>
      </c>
      <c r="V36" s="81"/>
      <c r="W36" s="81"/>
      <c r="X36" s="81"/>
      <c r="Y36" s="81"/>
      <c r="Z36" s="81"/>
      <c r="AA36" s="81"/>
      <c r="AB36" s="83"/>
      <c r="AC36" s="78"/>
      <c r="AD36" s="78"/>
      <c r="AE36" s="78"/>
      <c r="AF36" s="81"/>
      <c r="AG36" s="81"/>
      <c r="AH36" s="32"/>
    </row>
    <row r="37" spans="1:34" s="19" customFormat="1" x14ac:dyDescent="0.25">
      <c r="A37" s="78"/>
      <c r="B37" s="78"/>
      <c r="C37" s="78"/>
      <c r="D37" s="78">
        <v>341</v>
      </c>
      <c r="E37" s="78">
        <v>6302</v>
      </c>
      <c r="F37" s="79" t="s">
        <v>228</v>
      </c>
      <c r="G37" s="255">
        <f t="shared" si="3"/>
        <v>0</v>
      </c>
      <c r="H37" s="79"/>
      <c r="I37" s="80"/>
      <c r="J37" s="80"/>
      <c r="K37" s="90"/>
      <c r="L37" s="90"/>
      <c r="M37" s="90"/>
      <c r="N37" s="90"/>
      <c r="O37" s="90"/>
      <c r="P37" s="90"/>
      <c r="Q37" s="77">
        <f t="shared" si="5"/>
        <v>0</v>
      </c>
      <c r="R37" s="90"/>
      <c r="S37" s="81"/>
      <c r="T37" s="81">
        <v>28299058.399999999</v>
      </c>
      <c r="U37" s="93">
        <f t="shared" si="11"/>
        <v>28299058.399999999</v>
      </c>
      <c r="V37" s="81"/>
      <c r="W37" s="81"/>
      <c r="X37" s="81"/>
      <c r="Y37" s="81"/>
      <c r="Z37" s="81"/>
      <c r="AA37" s="81"/>
      <c r="AB37" s="83"/>
      <c r="AC37" s="78"/>
      <c r="AD37" s="78"/>
      <c r="AE37" s="78"/>
      <c r="AF37" s="81"/>
      <c r="AG37" s="81"/>
      <c r="AH37" s="32"/>
    </row>
    <row r="38" spans="1:34" s="19" customFormat="1" x14ac:dyDescent="0.25">
      <c r="A38" s="78"/>
      <c r="B38" s="78"/>
      <c r="C38" s="78"/>
      <c r="D38" s="78">
        <v>341</v>
      </c>
      <c r="E38" s="78">
        <v>6349</v>
      </c>
      <c r="F38" s="79" t="s">
        <v>230</v>
      </c>
      <c r="G38" s="255">
        <f t="shared" si="3"/>
        <v>0</v>
      </c>
      <c r="H38" s="79"/>
      <c r="I38" s="80"/>
      <c r="J38" s="80"/>
      <c r="K38" s="90"/>
      <c r="L38" s="90"/>
      <c r="M38" s="90"/>
      <c r="N38" s="90"/>
      <c r="O38" s="90"/>
      <c r="P38" s="90"/>
      <c r="Q38" s="77">
        <f t="shared" si="5"/>
        <v>0</v>
      </c>
      <c r="R38" s="90"/>
      <c r="S38" s="81"/>
      <c r="T38" s="81">
        <v>3141958.6</v>
      </c>
      <c r="U38" s="93">
        <f t="shared" si="11"/>
        <v>3141958.6</v>
      </c>
      <c r="V38" s="81"/>
      <c r="W38" s="81"/>
      <c r="X38" s="81"/>
      <c r="Y38" s="81"/>
      <c r="Z38" s="81"/>
      <c r="AA38" s="81"/>
      <c r="AB38" s="83"/>
      <c r="AC38" s="78"/>
      <c r="AD38" s="78"/>
      <c r="AE38" s="78"/>
      <c r="AF38" s="81"/>
      <c r="AG38" s="81"/>
      <c r="AH38" s="32"/>
    </row>
    <row r="39" spans="1:34" s="24" customFormat="1" x14ac:dyDescent="0.25">
      <c r="A39" s="262"/>
      <c r="B39" s="262"/>
      <c r="C39" s="262"/>
      <c r="D39" s="262">
        <v>341</v>
      </c>
      <c r="E39" s="262"/>
      <c r="F39" s="85" t="s">
        <v>5</v>
      </c>
      <c r="G39" s="255">
        <f t="shared" si="3"/>
        <v>340000000</v>
      </c>
      <c r="H39" s="85"/>
      <c r="I39" s="77">
        <f>J39+S39</f>
        <v>340000000</v>
      </c>
      <c r="J39" s="77">
        <f>K39+L39+M39+N39</f>
        <v>340000000</v>
      </c>
      <c r="K39" s="94">
        <f>340000000-N39</f>
        <v>284200000</v>
      </c>
      <c r="L39" s="94"/>
      <c r="M39" s="94"/>
      <c r="N39" s="94">
        <f>34000000+21800000</f>
        <v>55800000</v>
      </c>
      <c r="O39" s="94"/>
      <c r="P39" s="94"/>
      <c r="Q39" s="77">
        <f t="shared" si="5"/>
        <v>0</v>
      </c>
      <c r="R39" s="94"/>
      <c r="S39" s="75"/>
      <c r="T39" s="75">
        <f>SUM(T40:T45)</f>
        <v>137757640</v>
      </c>
      <c r="U39" s="75">
        <f>SUM(U40:U45)</f>
        <v>137757640</v>
      </c>
      <c r="V39" s="75"/>
      <c r="W39" s="75"/>
      <c r="X39" s="75"/>
      <c r="Y39" s="75"/>
      <c r="Z39" s="75"/>
      <c r="AA39" s="75">
        <f>I39-T39</f>
        <v>202242360</v>
      </c>
      <c r="AB39" s="86">
        <f>K39-U39</f>
        <v>146442360</v>
      </c>
      <c r="AC39" s="262"/>
      <c r="AD39" s="262"/>
      <c r="AE39" s="262"/>
      <c r="AF39" s="75">
        <f>N39</f>
        <v>55800000</v>
      </c>
      <c r="AG39" s="75"/>
      <c r="AH39" s="29"/>
    </row>
    <row r="40" spans="1:34" s="19" customFormat="1" x14ac:dyDescent="0.25">
      <c r="A40" s="78"/>
      <c r="B40" s="78"/>
      <c r="C40" s="78"/>
      <c r="D40" s="78">
        <v>341</v>
      </c>
      <c r="E40" s="78">
        <v>6299</v>
      </c>
      <c r="F40" s="79" t="s">
        <v>225</v>
      </c>
      <c r="G40" s="255">
        <f t="shared" si="3"/>
        <v>0</v>
      </c>
      <c r="H40" s="79"/>
      <c r="I40" s="80"/>
      <c r="J40" s="80"/>
      <c r="K40" s="90"/>
      <c r="L40" s="90"/>
      <c r="M40" s="90"/>
      <c r="N40" s="90"/>
      <c r="O40" s="90"/>
      <c r="P40" s="90"/>
      <c r="Q40" s="77">
        <f t="shared" si="5"/>
        <v>0</v>
      </c>
      <c r="R40" s="90"/>
      <c r="S40" s="81"/>
      <c r="T40" s="81">
        <f>10000000+4500000</f>
        <v>14500000</v>
      </c>
      <c r="U40" s="93">
        <f>T40</f>
        <v>14500000</v>
      </c>
      <c r="V40" s="81"/>
      <c r="W40" s="81"/>
      <c r="X40" s="81"/>
      <c r="Y40" s="81"/>
      <c r="Z40" s="81"/>
      <c r="AA40" s="81"/>
      <c r="AB40" s="83"/>
      <c r="AC40" s="78"/>
      <c r="AD40" s="78"/>
      <c r="AE40" s="78"/>
      <c r="AF40" s="81"/>
      <c r="AG40" s="81"/>
      <c r="AH40" s="32"/>
    </row>
    <row r="41" spans="1:34" s="19" customFormat="1" x14ac:dyDescent="0.25">
      <c r="A41" s="78"/>
      <c r="B41" s="78"/>
      <c r="C41" s="78"/>
      <c r="D41" s="78">
        <v>341</v>
      </c>
      <c r="E41" s="78">
        <v>6551</v>
      </c>
      <c r="F41" s="79" t="s">
        <v>235</v>
      </c>
      <c r="G41" s="255">
        <f t="shared" si="3"/>
        <v>0</v>
      </c>
      <c r="H41" s="79"/>
      <c r="I41" s="80"/>
      <c r="J41" s="80"/>
      <c r="K41" s="90"/>
      <c r="L41" s="90"/>
      <c r="M41" s="90"/>
      <c r="N41" s="90"/>
      <c r="O41" s="90"/>
      <c r="P41" s="90"/>
      <c r="Q41" s="77">
        <f t="shared" si="5"/>
        <v>0</v>
      </c>
      <c r="R41" s="90"/>
      <c r="S41" s="81"/>
      <c r="T41" s="81">
        <f>28131624+15733470</f>
        <v>43865094</v>
      </c>
      <c r="U41" s="93">
        <f>T41</f>
        <v>43865094</v>
      </c>
      <c r="V41" s="81"/>
      <c r="W41" s="81"/>
      <c r="X41" s="81"/>
      <c r="Y41" s="81"/>
      <c r="Z41" s="81"/>
      <c r="AA41" s="81"/>
      <c r="AB41" s="83"/>
      <c r="AC41" s="78"/>
      <c r="AD41" s="78"/>
      <c r="AE41" s="78"/>
      <c r="AF41" s="81"/>
      <c r="AG41" s="81"/>
      <c r="AH41" s="32"/>
    </row>
    <row r="42" spans="1:34" s="19" customFormat="1" x14ac:dyDescent="0.25">
      <c r="A42" s="78"/>
      <c r="B42" s="78"/>
      <c r="C42" s="78"/>
      <c r="D42" s="78">
        <v>341</v>
      </c>
      <c r="E42" s="78">
        <v>6704</v>
      </c>
      <c r="F42" s="79" t="s">
        <v>237</v>
      </c>
      <c r="G42" s="255">
        <f t="shared" si="3"/>
        <v>0</v>
      </c>
      <c r="H42" s="79"/>
      <c r="I42" s="80"/>
      <c r="J42" s="80"/>
      <c r="K42" s="90"/>
      <c r="L42" s="90"/>
      <c r="M42" s="90"/>
      <c r="N42" s="90"/>
      <c r="O42" s="90"/>
      <c r="P42" s="90"/>
      <c r="Q42" s="77">
        <f t="shared" si="5"/>
        <v>0</v>
      </c>
      <c r="R42" s="90"/>
      <c r="S42" s="81"/>
      <c r="T42" s="81">
        <f>20300000+3250000+3250000+3250000</f>
        <v>30050000</v>
      </c>
      <c r="U42" s="93">
        <f>T42</f>
        <v>30050000</v>
      </c>
      <c r="V42" s="81"/>
      <c r="W42" s="81"/>
      <c r="X42" s="81"/>
      <c r="Y42" s="81"/>
      <c r="Z42" s="81"/>
      <c r="AA42" s="81"/>
      <c r="AB42" s="83"/>
      <c r="AC42" s="78"/>
      <c r="AD42" s="78"/>
      <c r="AE42" s="78"/>
      <c r="AF42" s="81"/>
      <c r="AG42" s="81"/>
      <c r="AH42" s="32"/>
    </row>
    <row r="43" spans="1:34" s="19" customFormat="1" x14ac:dyDescent="0.25">
      <c r="A43" s="78"/>
      <c r="B43" s="78"/>
      <c r="C43" s="78"/>
      <c r="D43" s="78">
        <v>341</v>
      </c>
      <c r="E43" s="78">
        <v>6912</v>
      </c>
      <c r="F43" s="79" t="s">
        <v>239</v>
      </c>
      <c r="G43" s="255">
        <f t="shared" si="3"/>
        <v>0</v>
      </c>
      <c r="H43" s="79"/>
      <c r="I43" s="80"/>
      <c r="J43" s="80"/>
      <c r="K43" s="90"/>
      <c r="L43" s="90"/>
      <c r="M43" s="90"/>
      <c r="N43" s="90"/>
      <c r="O43" s="90"/>
      <c r="P43" s="90"/>
      <c r="Q43" s="77">
        <f t="shared" si="5"/>
        <v>0</v>
      </c>
      <c r="R43" s="90"/>
      <c r="S43" s="81"/>
      <c r="T43" s="81">
        <f>9745470+11796360</f>
        <v>21541830</v>
      </c>
      <c r="U43" s="93">
        <f>T43</f>
        <v>21541830</v>
      </c>
      <c r="V43" s="81"/>
      <c r="W43" s="81"/>
      <c r="X43" s="81"/>
      <c r="Y43" s="81"/>
      <c r="Z43" s="81"/>
      <c r="AA43" s="81"/>
      <c r="AB43" s="83"/>
      <c r="AC43" s="78"/>
      <c r="AD43" s="78"/>
      <c r="AE43" s="78"/>
      <c r="AF43" s="81"/>
      <c r="AG43" s="81"/>
      <c r="AH43" s="32"/>
    </row>
    <row r="44" spans="1:34" s="19" customFormat="1" x14ac:dyDescent="0.25">
      <c r="A44" s="78"/>
      <c r="B44" s="78"/>
      <c r="C44" s="78"/>
      <c r="D44" s="78">
        <v>341</v>
      </c>
      <c r="E44" s="78">
        <v>7799</v>
      </c>
      <c r="F44" s="79" t="s">
        <v>244</v>
      </c>
      <c r="G44" s="255">
        <f t="shared" si="3"/>
        <v>0</v>
      </c>
      <c r="H44" s="79"/>
      <c r="I44" s="80"/>
      <c r="J44" s="80"/>
      <c r="K44" s="90"/>
      <c r="L44" s="90"/>
      <c r="M44" s="90"/>
      <c r="N44" s="90"/>
      <c r="O44" s="90"/>
      <c r="P44" s="90"/>
      <c r="Q44" s="77">
        <f t="shared" si="5"/>
        <v>0</v>
      </c>
      <c r="R44" s="90"/>
      <c r="S44" s="81"/>
      <c r="T44" s="81">
        <v>22111618</v>
      </c>
      <c r="U44" s="93">
        <v>22111618</v>
      </c>
      <c r="V44" s="81"/>
      <c r="W44" s="81"/>
      <c r="X44" s="81"/>
      <c r="Y44" s="81"/>
      <c r="Z44" s="81"/>
      <c r="AA44" s="81"/>
      <c r="AB44" s="83"/>
      <c r="AC44" s="78"/>
      <c r="AD44" s="78"/>
      <c r="AE44" s="78"/>
      <c r="AF44" s="81"/>
      <c r="AG44" s="81"/>
      <c r="AH44" s="32"/>
    </row>
    <row r="45" spans="1:34" s="19" customFormat="1" x14ac:dyDescent="0.25">
      <c r="A45" s="78"/>
      <c r="B45" s="78"/>
      <c r="C45" s="78"/>
      <c r="D45" s="78">
        <v>341</v>
      </c>
      <c r="E45" s="78">
        <v>6105</v>
      </c>
      <c r="F45" s="79" t="s">
        <v>267</v>
      </c>
      <c r="G45" s="255">
        <f t="shared" si="3"/>
        <v>0</v>
      </c>
      <c r="H45" s="79"/>
      <c r="I45" s="80"/>
      <c r="J45" s="80"/>
      <c r="K45" s="90"/>
      <c r="L45" s="90"/>
      <c r="M45" s="90"/>
      <c r="N45" s="90"/>
      <c r="O45" s="90"/>
      <c r="P45" s="90"/>
      <c r="Q45" s="77">
        <f t="shared" si="5"/>
        <v>0</v>
      </c>
      <c r="R45" s="90"/>
      <c r="S45" s="81"/>
      <c r="T45" s="81">
        <v>5689098</v>
      </c>
      <c r="U45" s="93">
        <f>T45</f>
        <v>5689098</v>
      </c>
      <c r="V45" s="81"/>
      <c r="W45" s="81"/>
      <c r="X45" s="81"/>
      <c r="Y45" s="81"/>
      <c r="Z45" s="81"/>
      <c r="AA45" s="81"/>
      <c r="AB45" s="83"/>
      <c r="AC45" s="78"/>
      <c r="AD45" s="78"/>
      <c r="AE45" s="78"/>
      <c r="AF45" s="81"/>
      <c r="AG45" s="81"/>
      <c r="AH45" s="32"/>
    </row>
    <row r="46" spans="1:34" s="24" customFormat="1" ht="17.25" customHeight="1" x14ac:dyDescent="0.25">
      <c r="A46" s="262">
        <v>3.2</v>
      </c>
      <c r="B46" s="262">
        <v>832</v>
      </c>
      <c r="C46" s="262">
        <v>340</v>
      </c>
      <c r="D46" s="262">
        <v>341</v>
      </c>
      <c r="E46" s="262"/>
      <c r="F46" s="85" t="s">
        <v>48</v>
      </c>
      <c r="G46" s="255">
        <f>H46+I46</f>
        <v>530000000</v>
      </c>
      <c r="H46" s="85"/>
      <c r="I46" s="77">
        <f>SUM(I47:I66)</f>
        <v>530000000</v>
      </c>
      <c r="J46" s="77">
        <f t="shared" ref="J46:S46" si="12">SUM(J47:J66)</f>
        <v>530000000</v>
      </c>
      <c r="K46" s="77">
        <f t="shared" si="12"/>
        <v>0</v>
      </c>
      <c r="L46" s="77">
        <f>SUM(L47:L66)</f>
        <v>453700000</v>
      </c>
      <c r="M46" s="77">
        <f t="shared" si="12"/>
        <v>0</v>
      </c>
      <c r="N46" s="77">
        <f>SUM(N47:N66)</f>
        <v>76300000</v>
      </c>
      <c r="O46" s="77">
        <f t="shared" si="12"/>
        <v>0</v>
      </c>
      <c r="P46" s="77">
        <f t="shared" si="12"/>
        <v>0</v>
      </c>
      <c r="Q46" s="77">
        <f t="shared" si="5"/>
        <v>0</v>
      </c>
      <c r="R46" s="77"/>
      <c r="S46" s="77">
        <f t="shared" si="12"/>
        <v>0</v>
      </c>
      <c r="T46" s="77">
        <f t="shared" ref="T46:Z46" si="13">T48+T53+T47+T57+T58+T59+T60+T61+T62+T66</f>
        <v>164480322</v>
      </c>
      <c r="U46" s="77">
        <f t="shared" si="13"/>
        <v>0</v>
      </c>
      <c r="V46" s="77">
        <f t="shared" si="13"/>
        <v>164480322</v>
      </c>
      <c r="W46" s="77">
        <f t="shared" si="13"/>
        <v>0</v>
      </c>
      <c r="X46" s="77">
        <f t="shared" si="13"/>
        <v>0</v>
      </c>
      <c r="Y46" s="77">
        <f t="shared" si="13"/>
        <v>0</v>
      </c>
      <c r="Z46" s="77">
        <f t="shared" si="13"/>
        <v>0</v>
      </c>
      <c r="AA46" s="77">
        <f>SUBTOTAL(9,AA47:AA66)</f>
        <v>365519678</v>
      </c>
      <c r="AB46" s="77">
        <f>SUBTOTAL(9,AB47:AB66)</f>
        <v>0</v>
      </c>
      <c r="AC46" s="77">
        <f>SUBTOTAL(9,AC47:AC66)</f>
        <v>289219678</v>
      </c>
      <c r="AD46" s="77">
        <f>AD48+AD53+AD47+AD57+AD58+AD59+AD60+AD61+AD62+AD66</f>
        <v>0</v>
      </c>
      <c r="AE46" s="77">
        <f>AE48+AE53+AE47+AE57+AE58+AE59+AE60+AE61+AE62+AE66</f>
        <v>0</v>
      </c>
      <c r="AF46" s="77">
        <f>AF48+AF53+AF47+AF57+AF58+AF59+AF60+AF61+AF62+AF66</f>
        <v>76300000</v>
      </c>
      <c r="AG46" s="77"/>
      <c r="AH46" s="29"/>
    </row>
    <row r="47" spans="1:34" s="24" customFormat="1" x14ac:dyDescent="0.25">
      <c r="A47" s="262"/>
      <c r="B47" s="262"/>
      <c r="C47" s="262"/>
      <c r="D47" s="262">
        <v>341</v>
      </c>
      <c r="E47" s="262"/>
      <c r="F47" s="96" t="s">
        <v>49</v>
      </c>
      <c r="G47" s="255">
        <f t="shared" si="3"/>
        <v>35000000</v>
      </c>
      <c r="H47" s="96"/>
      <c r="I47" s="77">
        <f>J47+S47</f>
        <v>35000000</v>
      </c>
      <c r="J47" s="77">
        <f>K47+L47+M47+N47</f>
        <v>35000000</v>
      </c>
      <c r="K47" s="94"/>
      <c r="L47" s="94">
        <f>35000000-N47</f>
        <v>28400000</v>
      </c>
      <c r="M47" s="94"/>
      <c r="N47" s="94">
        <f>3500000+3100000</f>
        <v>6600000</v>
      </c>
      <c r="O47" s="94"/>
      <c r="P47" s="94"/>
      <c r="Q47" s="77">
        <f t="shared" si="5"/>
        <v>0</v>
      </c>
      <c r="R47" s="94"/>
      <c r="S47" s="94"/>
      <c r="T47" s="75"/>
      <c r="U47" s="75"/>
      <c r="V47" s="75"/>
      <c r="W47" s="75"/>
      <c r="X47" s="75"/>
      <c r="Y47" s="75"/>
      <c r="Z47" s="75"/>
      <c r="AA47" s="75">
        <f>I47-T47</f>
        <v>35000000</v>
      </c>
      <c r="AB47" s="262"/>
      <c r="AC47" s="127">
        <f>L47</f>
        <v>28400000</v>
      </c>
      <c r="AD47" s="262"/>
      <c r="AE47" s="262"/>
      <c r="AF47" s="75">
        <f>N47</f>
        <v>6600000</v>
      </c>
      <c r="AG47" s="75"/>
      <c r="AH47" s="29"/>
    </row>
    <row r="48" spans="1:34" s="24" customFormat="1" ht="33" customHeight="1" x14ac:dyDescent="0.25">
      <c r="A48" s="262"/>
      <c r="B48" s="262"/>
      <c r="C48" s="262"/>
      <c r="D48" s="262">
        <v>341</v>
      </c>
      <c r="E48" s="262"/>
      <c r="F48" s="96" t="s">
        <v>50</v>
      </c>
      <c r="G48" s="255">
        <f t="shared" si="3"/>
        <v>100000000</v>
      </c>
      <c r="H48" s="96"/>
      <c r="I48" s="77">
        <f>J48+S48</f>
        <v>100000000</v>
      </c>
      <c r="J48" s="77">
        <f>K48+L48+M48+N48</f>
        <v>100000000</v>
      </c>
      <c r="K48" s="94"/>
      <c r="L48" s="94">
        <f>100000000-N48</f>
        <v>90000000</v>
      </c>
      <c r="M48" s="94"/>
      <c r="N48" s="94">
        <v>10000000</v>
      </c>
      <c r="O48" s="94"/>
      <c r="P48" s="94"/>
      <c r="Q48" s="77">
        <f t="shared" si="5"/>
        <v>0</v>
      </c>
      <c r="R48" s="94"/>
      <c r="S48" s="94"/>
      <c r="T48" s="75">
        <f>SUM(T49:T52)</f>
        <v>47388100</v>
      </c>
      <c r="U48" s="75">
        <f>SUM(U49:U52)</f>
        <v>0</v>
      </c>
      <c r="V48" s="75">
        <f>SUM(V49:V52)</f>
        <v>47388100</v>
      </c>
      <c r="W48" s="75"/>
      <c r="X48" s="75"/>
      <c r="Y48" s="75"/>
      <c r="Z48" s="75"/>
      <c r="AA48" s="75">
        <f>I48-T48</f>
        <v>52611900</v>
      </c>
      <c r="AB48" s="262"/>
      <c r="AC48" s="86">
        <f>L48-V48</f>
        <v>42611900</v>
      </c>
      <c r="AD48" s="86"/>
      <c r="AE48" s="262"/>
      <c r="AF48" s="75">
        <v>10000000</v>
      </c>
      <c r="AG48" s="75"/>
      <c r="AH48" s="29"/>
    </row>
    <row r="49" spans="1:34" s="19" customFormat="1" ht="27.75" customHeight="1" x14ac:dyDescent="0.25">
      <c r="A49" s="78"/>
      <c r="B49" s="78"/>
      <c r="C49" s="78"/>
      <c r="D49" s="78">
        <v>341</v>
      </c>
      <c r="E49" s="78">
        <v>6751</v>
      </c>
      <c r="F49" s="97" t="s">
        <v>163</v>
      </c>
      <c r="G49" s="255">
        <f t="shared" si="3"/>
        <v>0</v>
      </c>
      <c r="H49" s="97"/>
      <c r="I49" s="80"/>
      <c r="J49" s="80"/>
      <c r="K49" s="90"/>
      <c r="L49" s="90"/>
      <c r="M49" s="90"/>
      <c r="N49" s="90"/>
      <c r="O49" s="90"/>
      <c r="P49" s="90"/>
      <c r="Q49" s="77">
        <f t="shared" si="5"/>
        <v>0</v>
      </c>
      <c r="R49" s="90"/>
      <c r="S49" s="90"/>
      <c r="T49" s="81">
        <v>5500000</v>
      </c>
      <c r="U49" s="93"/>
      <c r="V49" s="81">
        <f>T49</f>
        <v>5500000</v>
      </c>
      <c r="W49" s="81"/>
      <c r="X49" s="81"/>
      <c r="Y49" s="81"/>
      <c r="Z49" s="81"/>
      <c r="AA49" s="81"/>
      <c r="AB49" s="78"/>
      <c r="AC49" s="83"/>
      <c r="AD49" s="83"/>
      <c r="AE49" s="78"/>
      <c r="AF49" s="81"/>
      <c r="AG49" s="81"/>
      <c r="AH49" s="32"/>
    </row>
    <row r="50" spans="1:34" s="19" customFormat="1" ht="36" customHeight="1" x14ac:dyDescent="0.25">
      <c r="A50" s="78"/>
      <c r="B50" s="78"/>
      <c r="C50" s="78"/>
      <c r="D50" s="78">
        <v>341</v>
      </c>
      <c r="E50" s="78">
        <v>7799</v>
      </c>
      <c r="F50" s="97" t="s">
        <v>187</v>
      </c>
      <c r="G50" s="255">
        <f t="shared" si="3"/>
        <v>0</v>
      </c>
      <c r="H50" s="97"/>
      <c r="I50" s="80"/>
      <c r="J50" s="80"/>
      <c r="K50" s="90"/>
      <c r="L50" s="90"/>
      <c r="M50" s="90"/>
      <c r="N50" s="90"/>
      <c r="O50" s="90"/>
      <c r="P50" s="90"/>
      <c r="Q50" s="77">
        <f t="shared" si="5"/>
        <v>0</v>
      </c>
      <c r="R50" s="90"/>
      <c r="S50" s="90"/>
      <c r="T50" s="81">
        <v>19760400</v>
      </c>
      <c r="U50" s="93"/>
      <c r="V50" s="81">
        <f>T50</f>
        <v>19760400</v>
      </c>
      <c r="W50" s="81"/>
      <c r="X50" s="81"/>
      <c r="Y50" s="81"/>
      <c r="Z50" s="81"/>
      <c r="AA50" s="81"/>
      <c r="AB50" s="78"/>
      <c r="AC50" s="83"/>
      <c r="AD50" s="83"/>
      <c r="AE50" s="78"/>
      <c r="AF50" s="81"/>
      <c r="AG50" s="81"/>
      <c r="AH50" s="32"/>
    </row>
    <row r="51" spans="1:34" s="19" customFormat="1" ht="29.25" customHeight="1" x14ac:dyDescent="0.25">
      <c r="A51" s="78"/>
      <c r="B51" s="78"/>
      <c r="C51" s="78"/>
      <c r="D51" s="78">
        <v>341</v>
      </c>
      <c r="E51" s="78">
        <v>7799</v>
      </c>
      <c r="F51" s="97" t="s">
        <v>188</v>
      </c>
      <c r="G51" s="255">
        <f t="shared" si="3"/>
        <v>0</v>
      </c>
      <c r="H51" s="97"/>
      <c r="I51" s="80"/>
      <c r="J51" s="80"/>
      <c r="K51" s="90"/>
      <c r="L51" s="90"/>
      <c r="M51" s="90"/>
      <c r="N51" s="90"/>
      <c r="O51" s="90"/>
      <c r="P51" s="90"/>
      <c r="Q51" s="77">
        <f t="shared" si="5"/>
        <v>0</v>
      </c>
      <c r="R51" s="90"/>
      <c r="S51" s="90"/>
      <c r="T51" s="81">
        <v>11127700</v>
      </c>
      <c r="U51" s="93"/>
      <c r="V51" s="81">
        <f>T51</f>
        <v>11127700</v>
      </c>
      <c r="W51" s="81"/>
      <c r="X51" s="81"/>
      <c r="Y51" s="81"/>
      <c r="Z51" s="81"/>
      <c r="AA51" s="81"/>
      <c r="AB51" s="78"/>
      <c r="AC51" s="83"/>
      <c r="AD51" s="83"/>
      <c r="AE51" s="78"/>
      <c r="AF51" s="81"/>
      <c r="AG51" s="81"/>
      <c r="AH51" s="32"/>
    </row>
    <row r="52" spans="1:34" s="19" customFormat="1" ht="31.5" customHeight="1" x14ac:dyDescent="0.25">
      <c r="A52" s="78"/>
      <c r="B52" s="78"/>
      <c r="C52" s="78"/>
      <c r="D52" s="78">
        <v>341</v>
      </c>
      <c r="E52" s="78">
        <v>7799</v>
      </c>
      <c r="F52" s="97" t="s">
        <v>189</v>
      </c>
      <c r="G52" s="255">
        <f t="shared" si="3"/>
        <v>0</v>
      </c>
      <c r="H52" s="97"/>
      <c r="I52" s="80"/>
      <c r="J52" s="80"/>
      <c r="K52" s="90"/>
      <c r="L52" s="90"/>
      <c r="M52" s="90"/>
      <c r="N52" s="90"/>
      <c r="O52" s="90"/>
      <c r="P52" s="90"/>
      <c r="Q52" s="77">
        <f t="shared" si="5"/>
        <v>0</v>
      </c>
      <c r="R52" s="90"/>
      <c r="S52" s="90"/>
      <c r="T52" s="81">
        <v>11000000</v>
      </c>
      <c r="U52" s="93"/>
      <c r="V52" s="81">
        <v>11000000</v>
      </c>
      <c r="W52" s="81"/>
      <c r="X52" s="81"/>
      <c r="Y52" s="81"/>
      <c r="Z52" s="81"/>
      <c r="AA52" s="81"/>
      <c r="AB52" s="78"/>
      <c r="AC52" s="83"/>
      <c r="AD52" s="83"/>
      <c r="AE52" s="78"/>
      <c r="AF52" s="81"/>
      <c r="AG52" s="81"/>
      <c r="AH52" s="32"/>
    </row>
    <row r="53" spans="1:34" s="24" customFormat="1" ht="31.5" customHeight="1" x14ac:dyDescent="0.25">
      <c r="A53" s="262"/>
      <c r="B53" s="262"/>
      <c r="C53" s="262"/>
      <c r="D53" s="262">
        <v>341</v>
      </c>
      <c r="E53" s="262"/>
      <c r="F53" s="85" t="s">
        <v>51</v>
      </c>
      <c r="G53" s="255">
        <f t="shared" si="3"/>
        <v>150000000</v>
      </c>
      <c r="H53" s="85"/>
      <c r="I53" s="77">
        <f>J53+S53</f>
        <v>150000000</v>
      </c>
      <c r="J53" s="77">
        <f>K53+L53+M53+N53</f>
        <v>150000000</v>
      </c>
      <c r="K53" s="94"/>
      <c r="L53" s="94">
        <f>150000000-N53</f>
        <v>135000000</v>
      </c>
      <c r="M53" s="94"/>
      <c r="N53" s="94">
        <v>15000000</v>
      </c>
      <c r="O53" s="94"/>
      <c r="P53" s="94"/>
      <c r="Q53" s="77">
        <f t="shared" si="5"/>
        <v>0</v>
      </c>
      <c r="R53" s="94"/>
      <c r="S53" s="94"/>
      <c r="T53" s="75">
        <f>SUM(T54:T56)</f>
        <v>99591338</v>
      </c>
      <c r="U53" s="75">
        <f>SUM(U54:U56)</f>
        <v>0</v>
      </c>
      <c r="V53" s="75">
        <f>SUM(V54:V56)</f>
        <v>99591338</v>
      </c>
      <c r="W53" s="75"/>
      <c r="X53" s="75"/>
      <c r="Y53" s="75"/>
      <c r="Z53" s="75"/>
      <c r="AA53" s="75">
        <f>I53-T53</f>
        <v>50408662</v>
      </c>
      <c r="AB53" s="262"/>
      <c r="AC53" s="86">
        <f>L53-T53</f>
        <v>35408662</v>
      </c>
      <c r="AD53" s="86"/>
      <c r="AE53" s="262"/>
      <c r="AF53" s="75">
        <v>15000000</v>
      </c>
      <c r="AG53" s="75"/>
      <c r="AH53" s="29"/>
    </row>
    <row r="54" spans="1:34" s="19" customFormat="1" x14ac:dyDescent="0.25">
      <c r="A54" s="78"/>
      <c r="B54" s="78"/>
      <c r="C54" s="78"/>
      <c r="D54" s="78">
        <v>341</v>
      </c>
      <c r="E54" s="78">
        <v>6501</v>
      </c>
      <c r="F54" s="79" t="s">
        <v>146</v>
      </c>
      <c r="G54" s="255">
        <f t="shared" si="3"/>
        <v>0</v>
      </c>
      <c r="H54" s="79"/>
      <c r="I54" s="80"/>
      <c r="J54" s="80"/>
      <c r="K54" s="90"/>
      <c r="L54" s="90"/>
      <c r="M54" s="90"/>
      <c r="N54" s="90"/>
      <c r="O54" s="90"/>
      <c r="P54" s="90"/>
      <c r="Q54" s="77">
        <f t="shared" si="5"/>
        <v>0</v>
      </c>
      <c r="R54" s="90"/>
      <c r="S54" s="90"/>
      <c r="T54" s="81">
        <f>V54</f>
        <v>10645266</v>
      </c>
      <c r="U54" s="93"/>
      <c r="V54" s="81">
        <f>5512556+3634968+1149150+348592</f>
        <v>10645266</v>
      </c>
      <c r="W54" s="81"/>
      <c r="X54" s="81"/>
      <c r="Y54" s="81"/>
      <c r="Z54" s="81"/>
      <c r="AA54" s="81"/>
      <c r="AB54" s="78"/>
      <c r="AC54" s="83"/>
      <c r="AD54" s="83"/>
      <c r="AE54" s="78"/>
      <c r="AF54" s="81"/>
      <c r="AG54" s="81"/>
      <c r="AH54" s="32"/>
    </row>
    <row r="55" spans="1:34" s="19" customFormat="1" x14ac:dyDescent="0.25">
      <c r="A55" s="78"/>
      <c r="B55" s="78"/>
      <c r="C55" s="78"/>
      <c r="D55" s="78">
        <v>341</v>
      </c>
      <c r="E55" s="78">
        <v>6757</v>
      </c>
      <c r="F55" s="79" t="s">
        <v>170</v>
      </c>
      <c r="G55" s="255">
        <f t="shared" si="3"/>
        <v>0</v>
      </c>
      <c r="H55" s="79"/>
      <c r="I55" s="80"/>
      <c r="J55" s="80"/>
      <c r="K55" s="90"/>
      <c r="L55" s="90"/>
      <c r="M55" s="90"/>
      <c r="N55" s="90"/>
      <c r="O55" s="90"/>
      <c r="P55" s="90"/>
      <c r="Q55" s="77">
        <f t="shared" si="5"/>
        <v>0</v>
      </c>
      <c r="R55" s="90"/>
      <c r="S55" s="90"/>
      <c r="T55" s="81">
        <f>60000000+10000000+3000000+7000000</f>
        <v>80000000</v>
      </c>
      <c r="U55" s="93"/>
      <c r="V55" s="81">
        <f>T55</f>
        <v>80000000</v>
      </c>
      <c r="W55" s="81"/>
      <c r="X55" s="81"/>
      <c r="Y55" s="81"/>
      <c r="Z55" s="81"/>
      <c r="AA55" s="81"/>
      <c r="AB55" s="78"/>
      <c r="AC55" s="83"/>
      <c r="AD55" s="83"/>
      <c r="AE55" s="78"/>
      <c r="AF55" s="81"/>
      <c r="AG55" s="81"/>
      <c r="AH55" s="32"/>
    </row>
    <row r="56" spans="1:34" s="19" customFormat="1" ht="21.75" customHeight="1" x14ac:dyDescent="0.25">
      <c r="A56" s="78"/>
      <c r="B56" s="78"/>
      <c r="C56" s="78"/>
      <c r="D56" s="78">
        <v>341</v>
      </c>
      <c r="E56" s="78">
        <v>7799</v>
      </c>
      <c r="F56" s="79" t="s">
        <v>198</v>
      </c>
      <c r="G56" s="255">
        <f t="shared" si="3"/>
        <v>0</v>
      </c>
      <c r="H56" s="79"/>
      <c r="I56" s="80"/>
      <c r="J56" s="80"/>
      <c r="K56" s="90"/>
      <c r="L56" s="90"/>
      <c r="M56" s="90"/>
      <c r="N56" s="90"/>
      <c r="O56" s="90"/>
      <c r="P56" s="90"/>
      <c r="Q56" s="77">
        <f t="shared" si="5"/>
        <v>0</v>
      </c>
      <c r="R56" s="90"/>
      <c r="S56" s="90"/>
      <c r="T56" s="81">
        <v>8946072</v>
      </c>
      <c r="U56" s="93"/>
      <c r="V56" s="81">
        <v>8946072</v>
      </c>
      <c r="W56" s="81"/>
      <c r="X56" s="81"/>
      <c r="Y56" s="81"/>
      <c r="Z56" s="81"/>
      <c r="AA56" s="81"/>
      <c r="AB56" s="78"/>
      <c r="AC56" s="83"/>
      <c r="AD56" s="83"/>
      <c r="AE56" s="78"/>
      <c r="AF56" s="81"/>
      <c r="AG56" s="81"/>
      <c r="AH56" s="32"/>
    </row>
    <row r="57" spans="1:34" s="24" customFormat="1" ht="16.5" customHeight="1" x14ac:dyDescent="0.25">
      <c r="A57" s="262"/>
      <c r="B57" s="262"/>
      <c r="C57" s="262"/>
      <c r="D57" s="262">
        <v>341</v>
      </c>
      <c r="E57" s="262"/>
      <c r="F57" s="96" t="s">
        <v>52</v>
      </c>
      <c r="G57" s="255">
        <f t="shared" si="3"/>
        <v>60000000</v>
      </c>
      <c r="H57" s="96"/>
      <c r="I57" s="77">
        <f t="shared" ref="I57:I62" si="14">J57+S57</f>
        <v>60000000</v>
      </c>
      <c r="J57" s="77">
        <f t="shared" ref="J57:J62" si="15">K57+L57+M57+N57</f>
        <v>60000000</v>
      </c>
      <c r="K57" s="94"/>
      <c r="L57" s="94">
        <f>60000000-N57</f>
        <v>48600000</v>
      </c>
      <c r="M57" s="94"/>
      <c r="N57" s="94">
        <f>6000000+5400000</f>
        <v>11400000</v>
      </c>
      <c r="O57" s="94"/>
      <c r="P57" s="94"/>
      <c r="Q57" s="77">
        <f t="shared" si="5"/>
        <v>0</v>
      </c>
      <c r="R57" s="94"/>
      <c r="S57" s="94"/>
      <c r="T57" s="75"/>
      <c r="U57" s="75"/>
      <c r="V57" s="75"/>
      <c r="W57" s="75"/>
      <c r="X57" s="75"/>
      <c r="Y57" s="75"/>
      <c r="Z57" s="75"/>
      <c r="AA57" s="75">
        <f>I57</f>
        <v>60000000</v>
      </c>
      <c r="AB57" s="262"/>
      <c r="AC57" s="127">
        <f>L57</f>
        <v>48600000</v>
      </c>
      <c r="AD57" s="262"/>
      <c r="AE57" s="262"/>
      <c r="AF57" s="75">
        <f>N57</f>
        <v>11400000</v>
      </c>
      <c r="AG57" s="75"/>
      <c r="AH57" s="29"/>
    </row>
    <row r="58" spans="1:34" s="24" customFormat="1" ht="15.75" customHeight="1" x14ac:dyDescent="0.25">
      <c r="A58" s="262"/>
      <c r="B58" s="262"/>
      <c r="C58" s="262"/>
      <c r="D58" s="262">
        <v>341</v>
      </c>
      <c r="E58" s="262"/>
      <c r="F58" s="96" t="str">
        <f>'[2]DT CHI 2026'!$B$121</f>
        <v>Công tác cải cách hành chính</v>
      </c>
      <c r="G58" s="255">
        <f t="shared" si="3"/>
        <v>20000000</v>
      </c>
      <c r="H58" s="96"/>
      <c r="I58" s="77">
        <f t="shared" si="14"/>
        <v>20000000</v>
      </c>
      <c r="J58" s="77">
        <f t="shared" si="15"/>
        <v>20000000</v>
      </c>
      <c r="K58" s="94"/>
      <c r="L58" s="94">
        <v>18000000</v>
      </c>
      <c r="M58" s="94"/>
      <c r="N58" s="94">
        <v>2000000</v>
      </c>
      <c r="O58" s="94"/>
      <c r="P58" s="94"/>
      <c r="Q58" s="77">
        <f t="shared" si="5"/>
        <v>0</v>
      </c>
      <c r="R58" s="94"/>
      <c r="S58" s="94"/>
      <c r="T58" s="75"/>
      <c r="U58" s="75"/>
      <c r="V58" s="75"/>
      <c r="W58" s="75"/>
      <c r="X58" s="75"/>
      <c r="Y58" s="75"/>
      <c r="Z58" s="75"/>
      <c r="AA58" s="75">
        <f>I58</f>
        <v>20000000</v>
      </c>
      <c r="AB58" s="262"/>
      <c r="AC58" s="127">
        <f>AA58-AF58</f>
        <v>18000000</v>
      </c>
      <c r="AD58" s="262"/>
      <c r="AE58" s="262"/>
      <c r="AF58" s="75">
        <v>2000000</v>
      </c>
      <c r="AG58" s="75"/>
      <c r="AH58" s="29"/>
    </row>
    <row r="59" spans="1:34" s="24" customFormat="1" ht="18" customHeight="1" x14ac:dyDescent="0.25">
      <c r="A59" s="262"/>
      <c r="B59" s="262"/>
      <c r="C59" s="262"/>
      <c r="D59" s="262">
        <v>341</v>
      </c>
      <c r="E59" s="262"/>
      <c r="F59" s="96" t="s">
        <v>53</v>
      </c>
      <c r="G59" s="255">
        <f t="shared" si="3"/>
        <v>20000000</v>
      </c>
      <c r="H59" s="96"/>
      <c r="I59" s="77">
        <f t="shared" si="14"/>
        <v>20000000</v>
      </c>
      <c r="J59" s="77">
        <f t="shared" si="15"/>
        <v>20000000</v>
      </c>
      <c r="K59" s="94"/>
      <c r="L59" s="94">
        <f>20000000-N59</f>
        <v>16200000</v>
      </c>
      <c r="M59" s="94"/>
      <c r="N59" s="94">
        <f>2000000+1800000</f>
        <v>3800000</v>
      </c>
      <c r="O59" s="94"/>
      <c r="P59" s="94"/>
      <c r="Q59" s="77">
        <f t="shared" si="5"/>
        <v>0</v>
      </c>
      <c r="R59" s="94"/>
      <c r="S59" s="94"/>
      <c r="T59" s="75"/>
      <c r="U59" s="87"/>
      <c r="V59" s="75"/>
      <c r="W59" s="75"/>
      <c r="X59" s="75"/>
      <c r="Y59" s="75"/>
      <c r="Z59" s="75"/>
      <c r="AA59" s="75">
        <f>I59</f>
        <v>20000000</v>
      </c>
      <c r="AB59" s="262"/>
      <c r="AC59" s="127">
        <f>L59</f>
        <v>16200000</v>
      </c>
      <c r="AD59" s="262"/>
      <c r="AE59" s="262"/>
      <c r="AF59" s="75">
        <f>N59</f>
        <v>3800000</v>
      </c>
      <c r="AG59" s="75"/>
      <c r="AH59" s="29"/>
    </row>
    <row r="60" spans="1:34" s="24" customFormat="1" ht="15.75" customHeight="1" x14ac:dyDescent="0.25">
      <c r="A60" s="262"/>
      <c r="B60" s="262"/>
      <c r="C60" s="262"/>
      <c r="D60" s="262">
        <v>341</v>
      </c>
      <c r="E60" s="262"/>
      <c r="F60" s="96" t="s">
        <v>54</v>
      </c>
      <c r="G60" s="255">
        <f t="shared" si="3"/>
        <v>35000000</v>
      </c>
      <c r="H60" s="96"/>
      <c r="I60" s="77">
        <f t="shared" si="14"/>
        <v>35000000</v>
      </c>
      <c r="J60" s="77">
        <f t="shared" si="15"/>
        <v>35000000</v>
      </c>
      <c r="K60" s="94"/>
      <c r="L60" s="94">
        <f>35000000-N60</f>
        <v>28400000</v>
      </c>
      <c r="M60" s="94"/>
      <c r="N60" s="94">
        <f>3500000+3100000</f>
        <v>6600000</v>
      </c>
      <c r="O60" s="94"/>
      <c r="P60" s="94"/>
      <c r="Q60" s="77">
        <f t="shared" si="5"/>
        <v>0</v>
      </c>
      <c r="R60" s="94"/>
      <c r="S60" s="94"/>
      <c r="T60" s="75"/>
      <c r="U60" s="75"/>
      <c r="V60" s="75"/>
      <c r="W60" s="75"/>
      <c r="X60" s="75"/>
      <c r="Y60" s="75"/>
      <c r="Z60" s="75"/>
      <c r="AA60" s="75">
        <f>I60</f>
        <v>35000000</v>
      </c>
      <c r="AB60" s="262"/>
      <c r="AC60" s="127">
        <f>L60</f>
        <v>28400000</v>
      </c>
      <c r="AD60" s="262"/>
      <c r="AE60" s="262"/>
      <c r="AF60" s="75">
        <f>N60</f>
        <v>6600000</v>
      </c>
      <c r="AG60" s="75"/>
      <c r="AH60" s="29"/>
    </row>
    <row r="61" spans="1:34" s="24" customFormat="1" ht="18.75" customHeight="1" x14ac:dyDescent="0.25">
      <c r="A61" s="262"/>
      <c r="B61" s="262"/>
      <c r="C61" s="262"/>
      <c r="D61" s="262">
        <v>341</v>
      </c>
      <c r="E61" s="262"/>
      <c r="F61" s="96" t="s">
        <v>55</v>
      </c>
      <c r="G61" s="255">
        <f t="shared" si="3"/>
        <v>50000000</v>
      </c>
      <c r="H61" s="96"/>
      <c r="I61" s="77">
        <f t="shared" si="14"/>
        <v>50000000</v>
      </c>
      <c r="J61" s="77">
        <f t="shared" si="15"/>
        <v>50000000</v>
      </c>
      <c r="K61" s="94"/>
      <c r="L61" s="94">
        <f>50000000-N61</f>
        <v>40500000</v>
      </c>
      <c r="M61" s="94"/>
      <c r="N61" s="94">
        <f>5000000+4500000</f>
        <v>9500000</v>
      </c>
      <c r="O61" s="94"/>
      <c r="P61" s="94"/>
      <c r="Q61" s="77">
        <f t="shared" si="5"/>
        <v>0</v>
      </c>
      <c r="R61" s="94"/>
      <c r="S61" s="94"/>
      <c r="T61" s="75"/>
      <c r="U61" s="75"/>
      <c r="V61" s="75"/>
      <c r="W61" s="75"/>
      <c r="X61" s="75"/>
      <c r="Y61" s="75"/>
      <c r="Z61" s="75"/>
      <c r="AA61" s="75">
        <f>I61</f>
        <v>50000000</v>
      </c>
      <c r="AB61" s="262"/>
      <c r="AC61" s="127">
        <f>L61</f>
        <v>40500000</v>
      </c>
      <c r="AD61" s="262"/>
      <c r="AE61" s="262"/>
      <c r="AF61" s="75">
        <f>N61</f>
        <v>9500000</v>
      </c>
      <c r="AG61" s="75"/>
      <c r="AH61" s="29"/>
    </row>
    <row r="62" spans="1:34" s="24" customFormat="1" x14ac:dyDescent="0.25">
      <c r="A62" s="262"/>
      <c r="B62" s="262"/>
      <c r="C62" s="262"/>
      <c r="D62" s="262">
        <v>341</v>
      </c>
      <c r="E62" s="262"/>
      <c r="F62" s="96" t="s">
        <v>56</v>
      </c>
      <c r="G62" s="255">
        <f t="shared" si="3"/>
        <v>30000000</v>
      </c>
      <c r="H62" s="96"/>
      <c r="I62" s="77">
        <f t="shared" si="14"/>
        <v>30000000</v>
      </c>
      <c r="J62" s="77">
        <f t="shared" si="15"/>
        <v>30000000</v>
      </c>
      <c r="K62" s="94"/>
      <c r="L62" s="94">
        <f>30000000-N62</f>
        <v>24300000</v>
      </c>
      <c r="M62" s="94"/>
      <c r="N62" s="94">
        <f>3000000+2700000</f>
        <v>5700000</v>
      </c>
      <c r="O62" s="94"/>
      <c r="P62" s="94"/>
      <c r="Q62" s="77">
        <f t="shared" si="5"/>
        <v>0</v>
      </c>
      <c r="R62" s="94"/>
      <c r="S62" s="94"/>
      <c r="T62" s="75">
        <f>SUM(T63:T65)</f>
        <v>17500884</v>
      </c>
      <c r="U62" s="75">
        <f>SUM(U63:U65)</f>
        <v>0</v>
      </c>
      <c r="V62" s="75">
        <f>SUM(V63:V65)</f>
        <v>17500884</v>
      </c>
      <c r="W62" s="75"/>
      <c r="X62" s="75"/>
      <c r="Y62" s="75"/>
      <c r="Z62" s="75"/>
      <c r="AA62" s="75">
        <f>I62-T62</f>
        <v>12499116</v>
      </c>
      <c r="AB62" s="262"/>
      <c r="AC62" s="86">
        <f>L62-V62</f>
        <v>6799116</v>
      </c>
      <c r="AD62" s="86"/>
      <c r="AE62" s="262"/>
      <c r="AF62" s="75">
        <f>3000000+2700000</f>
        <v>5700000</v>
      </c>
      <c r="AG62" s="75"/>
      <c r="AH62" s="29"/>
    </row>
    <row r="63" spans="1:34" s="24" customFormat="1" ht="22.5" customHeight="1" x14ac:dyDescent="0.25">
      <c r="A63" s="78"/>
      <c r="B63" s="78"/>
      <c r="C63" s="78"/>
      <c r="D63" s="78">
        <v>341</v>
      </c>
      <c r="E63" s="78">
        <v>7799</v>
      </c>
      <c r="F63" s="97" t="s">
        <v>197</v>
      </c>
      <c r="G63" s="255">
        <f t="shared" si="3"/>
        <v>0</v>
      </c>
      <c r="H63" s="97"/>
      <c r="I63" s="80"/>
      <c r="J63" s="80"/>
      <c r="K63" s="90"/>
      <c r="L63" s="90"/>
      <c r="M63" s="90"/>
      <c r="N63" s="90"/>
      <c r="O63" s="90"/>
      <c r="P63" s="90"/>
      <c r="Q63" s="77">
        <f t="shared" si="5"/>
        <v>0</v>
      </c>
      <c r="R63" s="90"/>
      <c r="S63" s="90"/>
      <c r="T63" s="81">
        <v>3550884</v>
      </c>
      <c r="U63" s="81"/>
      <c r="V63" s="81">
        <v>3550884</v>
      </c>
      <c r="W63" s="81"/>
      <c r="X63" s="81"/>
      <c r="Y63" s="81"/>
      <c r="Z63" s="81"/>
      <c r="AA63" s="81"/>
      <c r="AB63" s="78"/>
      <c r="AC63" s="83"/>
      <c r="AD63" s="83"/>
      <c r="AE63" s="78"/>
      <c r="AF63" s="81"/>
      <c r="AG63" s="81"/>
      <c r="AH63" s="29"/>
    </row>
    <row r="64" spans="1:34" s="24" customFormat="1" ht="20.25" customHeight="1" x14ac:dyDescent="0.25">
      <c r="A64" s="78"/>
      <c r="B64" s="78"/>
      <c r="C64" s="78"/>
      <c r="D64" s="78">
        <v>341</v>
      </c>
      <c r="E64" s="78">
        <v>7799</v>
      </c>
      <c r="F64" s="84" t="s">
        <v>254</v>
      </c>
      <c r="G64" s="255">
        <f t="shared" si="3"/>
        <v>0</v>
      </c>
      <c r="H64" s="97"/>
      <c r="I64" s="80"/>
      <c r="J64" s="80"/>
      <c r="K64" s="90"/>
      <c r="L64" s="90"/>
      <c r="M64" s="90"/>
      <c r="N64" s="90"/>
      <c r="O64" s="90"/>
      <c r="P64" s="90"/>
      <c r="Q64" s="77">
        <f t="shared" si="5"/>
        <v>0</v>
      </c>
      <c r="R64" s="90"/>
      <c r="S64" s="90"/>
      <c r="T64" s="81">
        <v>7200000</v>
      </c>
      <c r="U64" s="81"/>
      <c r="V64" s="81">
        <f>T64</f>
        <v>7200000</v>
      </c>
      <c r="W64" s="81"/>
      <c r="X64" s="81"/>
      <c r="Y64" s="81"/>
      <c r="Z64" s="81"/>
      <c r="AA64" s="81"/>
      <c r="AB64" s="78"/>
      <c r="AC64" s="83"/>
      <c r="AD64" s="83"/>
      <c r="AE64" s="78"/>
      <c r="AF64" s="81"/>
      <c r="AG64" s="81"/>
      <c r="AH64" s="29"/>
    </row>
    <row r="65" spans="1:34" s="24" customFormat="1" ht="24.75" customHeight="1" x14ac:dyDescent="0.25">
      <c r="A65" s="78"/>
      <c r="B65" s="78"/>
      <c r="C65" s="78"/>
      <c r="D65" s="78">
        <v>341</v>
      </c>
      <c r="E65" s="78">
        <v>7799</v>
      </c>
      <c r="F65" s="84" t="s">
        <v>255</v>
      </c>
      <c r="G65" s="255">
        <f t="shared" si="3"/>
        <v>0</v>
      </c>
      <c r="H65" s="97"/>
      <c r="I65" s="80"/>
      <c r="J65" s="80"/>
      <c r="K65" s="90"/>
      <c r="L65" s="90"/>
      <c r="M65" s="90"/>
      <c r="N65" s="90"/>
      <c r="O65" s="90"/>
      <c r="P65" s="90"/>
      <c r="Q65" s="77">
        <f t="shared" si="5"/>
        <v>0</v>
      </c>
      <c r="R65" s="90"/>
      <c r="S65" s="90"/>
      <c r="T65" s="81">
        <v>6750000</v>
      </c>
      <c r="U65" s="81"/>
      <c r="V65" s="81">
        <f>T65</f>
        <v>6750000</v>
      </c>
      <c r="W65" s="81"/>
      <c r="X65" s="81"/>
      <c r="Y65" s="81"/>
      <c r="Z65" s="81"/>
      <c r="AA65" s="81"/>
      <c r="AB65" s="78"/>
      <c r="AC65" s="83"/>
      <c r="AD65" s="83"/>
      <c r="AE65" s="78"/>
      <c r="AF65" s="81"/>
      <c r="AG65" s="81"/>
      <c r="AH65" s="29"/>
    </row>
    <row r="66" spans="1:34" s="24" customFormat="1" ht="36.75" customHeight="1" x14ac:dyDescent="0.25">
      <c r="A66" s="262"/>
      <c r="B66" s="262"/>
      <c r="C66" s="262"/>
      <c r="D66" s="262">
        <v>341</v>
      </c>
      <c r="E66" s="262"/>
      <c r="F66" s="96" t="s">
        <v>57</v>
      </c>
      <c r="G66" s="255">
        <f t="shared" si="3"/>
        <v>30000000</v>
      </c>
      <c r="H66" s="96"/>
      <c r="I66" s="77">
        <f>J66+S66</f>
        <v>30000000</v>
      </c>
      <c r="J66" s="77">
        <f>K66+L66+M66+N66</f>
        <v>30000000</v>
      </c>
      <c r="K66" s="94"/>
      <c r="L66" s="94">
        <f>30000000-N66</f>
        <v>24300000</v>
      </c>
      <c r="M66" s="94"/>
      <c r="N66" s="94">
        <f>3000000+2700000</f>
        <v>5700000</v>
      </c>
      <c r="O66" s="94"/>
      <c r="P66" s="94"/>
      <c r="Q66" s="77">
        <f t="shared" si="5"/>
        <v>0</v>
      </c>
      <c r="R66" s="94"/>
      <c r="S66" s="94"/>
      <c r="T66" s="75"/>
      <c r="U66" s="185"/>
      <c r="V66" s="75"/>
      <c r="W66" s="75"/>
      <c r="X66" s="75"/>
      <c r="Y66" s="75"/>
      <c r="Z66" s="75"/>
      <c r="AA66" s="75">
        <f>I66</f>
        <v>30000000</v>
      </c>
      <c r="AB66" s="262"/>
      <c r="AC66" s="127">
        <f>L66</f>
        <v>24300000</v>
      </c>
      <c r="AD66" s="262"/>
      <c r="AE66" s="262"/>
      <c r="AF66" s="75">
        <f>N66</f>
        <v>5700000</v>
      </c>
      <c r="AG66" s="75"/>
      <c r="AH66" s="29"/>
    </row>
    <row r="67" spans="1:34" s="24" customFormat="1" ht="18" customHeight="1" x14ac:dyDescent="0.25">
      <c r="A67" s="262">
        <v>4</v>
      </c>
      <c r="B67" s="262">
        <v>832</v>
      </c>
      <c r="C67" s="262">
        <v>370</v>
      </c>
      <c r="D67" s="262">
        <v>398</v>
      </c>
      <c r="E67" s="262"/>
      <c r="F67" s="85" t="s">
        <v>59</v>
      </c>
      <c r="G67" s="255">
        <f>H67+I67</f>
        <v>16399577544</v>
      </c>
      <c r="H67" s="85">
        <v>2205577544</v>
      </c>
      <c r="I67" s="77">
        <f>SUM(I68:I92)</f>
        <v>14194000000</v>
      </c>
      <c r="J67" s="77">
        <f t="shared" ref="J67:P67" si="16">SUM(J68:J92)</f>
        <v>6494000000</v>
      </c>
      <c r="K67" s="77">
        <f t="shared" si="16"/>
        <v>0</v>
      </c>
      <c r="L67" s="77">
        <f>SUM(L68:L92)</f>
        <v>6494000000</v>
      </c>
      <c r="M67" s="77">
        <f t="shared" si="16"/>
        <v>0</v>
      </c>
      <c r="N67" s="77">
        <f t="shared" si="16"/>
        <v>0</v>
      </c>
      <c r="O67" s="77">
        <f t="shared" si="16"/>
        <v>0</v>
      </c>
      <c r="P67" s="77">
        <f t="shared" si="16"/>
        <v>0</v>
      </c>
      <c r="Q67" s="77">
        <f t="shared" si="5"/>
        <v>7700000000</v>
      </c>
      <c r="R67" s="77"/>
      <c r="S67" s="77">
        <f>SUM(S68:S92)</f>
        <v>7700000000</v>
      </c>
      <c r="T67" s="77">
        <f>T68+T70+T73+T78+T83+T88+T92+T81</f>
        <v>10497954000</v>
      </c>
      <c r="U67" s="77">
        <f>U68+U70+U73+U78+U83+U88+U92</f>
        <v>0</v>
      </c>
      <c r="V67" s="77">
        <f>V68+V70+V73+V78+V83+V88+V92+V81</f>
        <v>10497954000</v>
      </c>
      <c r="W67" s="77">
        <f>W68+W70+W73+W78+W83+W88+W92</f>
        <v>0</v>
      </c>
      <c r="X67" s="77">
        <f>X68+X70+X73+X78+X83+X88+X92</f>
        <v>0</v>
      </c>
      <c r="Y67" s="77">
        <f>Y68+Y70+Y73+Y78+Y83+Y88+Y92</f>
        <v>0</v>
      </c>
      <c r="Z67" s="77">
        <f>Z68+Z70+Z73+Z78+Z83+Z88+Z92</f>
        <v>0</v>
      </c>
      <c r="AA67" s="77">
        <f>AA68+AA70+AA72+AA73+AA78+AA81+AA83+AA88+'[4]mẫu 48'!C174+'[4]mẫu 48'!C175+H67</f>
        <v>5901623544</v>
      </c>
      <c r="AB67" s="77">
        <f>AB68+AB70+AB72+AB73+AB78+AB81+AB83+AB88+AB91+AB92</f>
        <v>0</v>
      </c>
      <c r="AC67" s="77">
        <f>AC68+AC70+AC72+AC73+AC78+AC81+AC83+AC88+AC91+AC92+H67</f>
        <v>5901623544</v>
      </c>
      <c r="AD67" s="77">
        <f>AD68+AD70+AD73+AD81+AD83+AD88+AD92</f>
        <v>0</v>
      </c>
      <c r="AE67" s="77">
        <f>AE68+AE70+AE73+AE81+AE83+AE88+AE92</f>
        <v>0</v>
      </c>
      <c r="AF67" s="77">
        <f>AF68+AF70+AF73+AF81+AF83+AF88+AF92</f>
        <v>0</v>
      </c>
      <c r="AG67" s="77">
        <f>AG68+AG70+AG73+AG81+AG83+AG88+AG92</f>
        <v>0</v>
      </c>
      <c r="AH67" s="29"/>
    </row>
    <row r="68" spans="1:34" s="24" customFormat="1" ht="39.75" customHeight="1" x14ac:dyDescent="0.25">
      <c r="A68" s="262"/>
      <c r="B68" s="262"/>
      <c r="C68" s="262"/>
      <c r="D68" s="262">
        <v>398</v>
      </c>
      <c r="E68" s="262"/>
      <c r="F68" s="85" t="s">
        <v>60</v>
      </c>
      <c r="G68" s="255">
        <f t="shared" si="3"/>
        <v>4034000000</v>
      </c>
      <c r="H68" s="85"/>
      <c r="I68" s="77">
        <f>J68+S68</f>
        <v>4034000000</v>
      </c>
      <c r="J68" s="77">
        <f>K68+L68+M68+N68</f>
        <v>4034000000</v>
      </c>
      <c r="K68" s="98"/>
      <c r="L68" s="98">
        <f>4034000*1000</f>
        <v>4034000000</v>
      </c>
      <c r="M68" s="98"/>
      <c r="N68" s="98"/>
      <c r="O68" s="98"/>
      <c r="P68" s="98"/>
      <c r="Q68" s="77">
        <f t="shared" si="5"/>
        <v>0</v>
      </c>
      <c r="R68" s="98"/>
      <c r="S68" s="75"/>
      <c r="T68" s="75">
        <f>L68</f>
        <v>4034000000</v>
      </c>
      <c r="U68" s="75"/>
      <c r="V68" s="75">
        <f>T68</f>
        <v>4034000000</v>
      </c>
      <c r="W68" s="75"/>
      <c r="X68" s="75"/>
      <c r="Y68" s="75"/>
      <c r="Z68" s="75"/>
      <c r="AA68" s="75">
        <f>I68-T68</f>
        <v>0</v>
      </c>
      <c r="AB68" s="262"/>
      <c r="AC68" s="86">
        <f>AA68</f>
        <v>0</v>
      </c>
      <c r="AD68" s="86"/>
      <c r="AE68" s="262"/>
      <c r="AF68" s="75"/>
      <c r="AG68" s="75"/>
      <c r="AH68" s="29"/>
    </row>
    <row r="69" spans="1:34" s="24" customFormat="1" ht="21.75" customHeight="1" x14ac:dyDescent="0.25">
      <c r="A69" s="78"/>
      <c r="B69" s="78"/>
      <c r="C69" s="78"/>
      <c r="D69" s="78">
        <v>398</v>
      </c>
      <c r="E69" s="78">
        <v>7455</v>
      </c>
      <c r="F69" s="79" t="s">
        <v>205</v>
      </c>
      <c r="G69" s="255">
        <f t="shared" si="3"/>
        <v>0</v>
      </c>
      <c r="H69" s="79"/>
      <c r="I69" s="80"/>
      <c r="J69" s="80"/>
      <c r="K69" s="99"/>
      <c r="L69" s="99"/>
      <c r="M69" s="99"/>
      <c r="N69" s="99"/>
      <c r="O69" s="99"/>
      <c r="P69" s="99"/>
      <c r="Q69" s="77">
        <f t="shared" si="5"/>
        <v>0</v>
      </c>
      <c r="R69" s="99"/>
      <c r="S69" s="81"/>
      <c r="T69" s="81">
        <f>T68</f>
        <v>4034000000</v>
      </c>
      <c r="U69" s="81"/>
      <c r="V69" s="81">
        <f>T69</f>
        <v>4034000000</v>
      </c>
      <c r="W69" s="81"/>
      <c r="X69" s="81"/>
      <c r="Y69" s="81"/>
      <c r="Z69" s="81"/>
      <c r="AA69" s="81"/>
      <c r="AB69" s="78"/>
      <c r="AC69" s="78"/>
      <c r="AD69" s="83"/>
      <c r="AE69" s="78"/>
      <c r="AF69" s="81"/>
      <c r="AG69" s="81"/>
      <c r="AH69" s="29"/>
    </row>
    <row r="70" spans="1:34" s="24" customFormat="1" ht="24" customHeight="1" x14ac:dyDescent="0.25">
      <c r="A70" s="262"/>
      <c r="B70" s="262"/>
      <c r="C70" s="262"/>
      <c r="D70" s="262">
        <v>398</v>
      </c>
      <c r="E70" s="262"/>
      <c r="F70" s="85" t="s">
        <v>61</v>
      </c>
      <c r="G70" s="255">
        <f t="shared" si="3"/>
        <v>1122000000</v>
      </c>
      <c r="H70" s="85"/>
      <c r="I70" s="77">
        <f>J70+S70</f>
        <v>1122000000</v>
      </c>
      <c r="J70" s="77">
        <f>K70+L70+M70+N70</f>
        <v>1122000000</v>
      </c>
      <c r="K70" s="98"/>
      <c r="L70" s="98">
        <f>1122000*1000</f>
        <v>1122000000</v>
      </c>
      <c r="M70" s="98"/>
      <c r="N70" s="98"/>
      <c r="O70" s="98"/>
      <c r="P70" s="98"/>
      <c r="Q70" s="77">
        <f t="shared" si="5"/>
        <v>0</v>
      </c>
      <c r="R70" s="98"/>
      <c r="S70" s="75"/>
      <c r="T70" s="75">
        <v>300000000</v>
      </c>
      <c r="U70" s="185"/>
      <c r="V70" s="75">
        <v>300000000</v>
      </c>
      <c r="W70" s="75"/>
      <c r="X70" s="75"/>
      <c r="Y70" s="75"/>
      <c r="Z70" s="75"/>
      <c r="AA70" s="75">
        <f>I70-T70</f>
        <v>822000000</v>
      </c>
      <c r="AB70" s="262"/>
      <c r="AC70" s="86">
        <f>AA70</f>
        <v>822000000</v>
      </c>
      <c r="AD70" s="86"/>
      <c r="AE70" s="262"/>
      <c r="AF70" s="75"/>
      <c r="AG70" s="75"/>
      <c r="AH70" s="29"/>
    </row>
    <row r="71" spans="1:34" s="19" customFormat="1" ht="24" customHeight="1" x14ac:dyDescent="0.25">
      <c r="A71" s="78"/>
      <c r="B71" s="78"/>
      <c r="C71" s="78"/>
      <c r="D71" s="78">
        <v>398</v>
      </c>
      <c r="E71" s="78">
        <v>7499</v>
      </c>
      <c r="F71" s="79" t="s">
        <v>207</v>
      </c>
      <c r="G71" s="255">
        <f t="shared" si="3"/>
        <v>0</v>
      </c>
      <c r="H71" s="79"/>
      <c r="I71" s="80"/>
      <c r="J71" s="80"/>
      <c r="K71" s="99"/>
      <c r="L71" s="99"/>
      <c r="M71" s="99"/>
      <c r="N71" s="99"/>
      <c r="O71" s="99"/>
      <c r="P71" s="99"/>
      <c r="Q71" s="77">
        <f t="shared" si="5"/>
        <v>0</v>
      </c>
      <c r="R71" s="99"/>
      <c r="S71" s="81"/>
      <c r="T71" s="81">
        <v>300000000</v>
      </c>
      <c r="U71" s="93"/>
      <c r="V71" s="81">
        <f>T71</f>
        <v>300000000</v>
      </c>
      <c r="W71" s="81"/>
      <c r="X71" s="81"/>
      <c r="Y71" s="81"/>
      <c r="Z71" s="81"/>
      <c r="AA71" s="81"/>
      <c r="AB71" s="78"/>
      <c r="AC71" s="83"/>
      <c r="AD71" s="83"/>
      <c r="AE71" s="78"/>
      <c r="AF71" s="81"/>
      <c r="AG71" s="81"/>
      <c r="AH71" s="32"/>
    </row>
    <row r="72" spans="1:34" s="24" customFormat="1" ht="36" customHeight="1" x14ac:dyDescent="0.25">
      <c r="A72" s="262"/>
      <c r="B72" s="262"/>
      <c r="C72" s="262"/>
      <c r="D72" s="262">
        <v>398</v>
      </c>
      <c r="E72" s="262"/>
      <c r="F72" s="85" t="s">
        <v>62</v>
      </c>
      <c r="G72" s="255">
        <f t="shared" si="3"/>
        <v>34000000</v>
      </c>
      <c r="H72" s="85"/>
      <c r="I72" s="77">
        <f>J72+S72</f>
        <v>34000000</v>
      </c>
      <c r="J72" s="77">
        <f>K72+L72+M72+N72</f>
        <v>34000000</v>
      </c>
      <c r="K72" s="98"/>
      <c r="L72" s="98">
        <v>34000000</v>
      </c>
      <c r="M72" s="98"/>
      <c r="N72" s="98"/>
      <c r="O72" s="98"/>
      <c r="P72" s="98"/>
      <c r="Q72" s="77">
        <f t="shared" si="5"/>
        <v>0</v>
      </c>
      <c r="R72" s="98"/>
      <c r="S72" s="75"/>
      <c r="T72" s="75">
        <f>0</f>
        <v>0</v>
      </c>
      <c r="U72" s="75"/>
      <c r="V72" s="75">
        <v>0</v>
      </c>
      <c r="W72" s="75"/>
      <c r="X72" s="75"/>
      <c r="Y72" s="75"/>
      <c r="Z72" s="75"/>
      <c r="AA72" s="75">
        <f>I72</f>
        <v>34000000</v>
      </c>
      <c r="AB72" s="262"/>
      <c r="AC72" s="86">
        <f>AA72</f>
        <v>34000000</v>
      </c>
      <c r="AD72" s="86"/>
      <c r="AE72" s="262"/>
      <c r="AF72" s="75"/>
      <c r="AG72" s="75"/>
      <c r="AH72" s="29"/>
    </row>
    <row r="73" spans="1:34" s="24" customFormat="1" ht="34.5" customHeight="1" x14ac:dyDescent="0.25">
      <c r="A73" s="262"/>
      <c r="B73" s="262"/>
      <c r="C73" s="262"/>
      <c r="D73" s="262">
        <v>398</v>
      </c>
      <c r="E73" s="262"/>
      <c r="F73" s="85" t="s">
        <v>63</v>
      </c>
      <c r="G73" s="255">
        <f t="shared" ref="G73:G123" si="17">H73+I73</f>
        <v>562000000</v>
      </c>
      <c r="H73" s="85"/>
      <c r="I73" s="77">
        <f>J73+S73</f>
        <v>562000000</v>
      </c>
      <c r="J73" s="77">
        <f>K73+L73+M73+N73</f>
        <v>562000000</v>
      </c>
      <c r="K73" s="98"/>
      <c r="L73" s="98">
        <f>562000*1000</f>
        <v>562000000</v>
      </c>
      <c r="M73" s="98"/>
      <c r="N73" s="98"/>
      <c r="O73" s="98"/>
      <c r="P73" s="98"/>
      <c r="Q73" s="77">
        <f t="shared" ref="Q73:Q123" si="18">R73+S73</f>
        <v>0</v>
      </c>
      <c r="R73" s="98"/>
      <c r="S73" s="75"/>
      <c r="T73" s="75">
        <f>SUM(T74:T77)</f>
        <v>237800000</v>
      </c>
      <c r="U73" s="75">
        <f>SUM(U74:U80)</f>
        <v>0</v>
      </c>
      <c r="V73" s="75">
        <f>SUM(V74:V77)</f>
        <v>237800000</v>
      </c>
      <c r="W73" s="75"/>
      <c r="X73" s="75"/>
      <c r="Y73" s="75"/>
      <c r="Z73" s="75"/>
      <c r="AA73" s="75">
        <f>I73-T73</f>
        <v>324200000</v>
      </c>
      <c r="AB73" s="262"/>
      <c r="AC73" s="86">
        <f>AA73</f>
        <v>324200000</v>
      </c>
      <c r="AD73" s="86"/>
      <c r="AE73" s="262"/>
      <c r="AF73" s="75"/>
      <c r="AG73" s="75"/>
      <c r="AH73" s="29"/>
    </row>
    <row r="74" spans="1:34" s="24" customFormat="1" ht="20.25" customHeight="1" x14ac:dyDescent="0.25">
      <c r="A74" s="78"/>
      <c r="B74" s="78"/>
      <c r="C74" s="78"/>
      <c r="D74" s="78">
        <v>398</v>
      </c>
      <c r="E74" s="78">
        <v>7151</v>
      </c>
      <c r="F74" s="95" t="s">
        <v>202</v>
      </c>
      <c r="G74" s="255">
        <f t="shared" si="17"/>
        <v>0</v>
      </c>
      <c r="H74" s="79"/>
      <c r="I74" s="80"/>
      <c r="J74" s="80"/>
      <c r="K74" s="99"/>
      <c r="L74" s="99"/>
      <c r="M74" s="99"/>
      <c r="N74" s="99"/>
      <c r="O74" s="99"/>
      <c r="P74" s="99"/>
      <c r="Q74" s="77">
        <f t="shared" si="18"/>
        <v>0</v>
      </c>
      <c r="R74" s="99"/>
      <c r="S74" s="81"/>
      <c r="T74" s="100">
        <v>70200000</v>
      </c>
      <c r="U74" s="190"/>
      <c r="V74" s="100">
        <v>70200000</v>
      </c>
      <c r="W74" s="81"/>
      <c r="X74" s="81"/>
      <c r="Y74" s="81"/>
      <c r="Z74" s="81"/>
      <c r="AA74" s="81"/>
      <c r="AB74" s="78"/>
      <c r="AC74" s="83"/>
      <c r="AD74" s="83"/>
      <c r="AE74" s="78"/>
      <c r="AF74" s="81"/>
      <c r="AG74" s="81"/>
      <c r="AH74" s="29"/>
    </row>
    <row r="75" spans="1:34" s="24" customFormat="1" x14ac:dyDescent="0.25">
      <c r="A75" s="78"/>
      <c r="B75" s="78"/>
      <c r="C75" s="78"/>
      <c r="D75" s="78">
        <v>398</v>
      </c>
      <c r="E75" s="78">
        <v>7151</v>
      </c>
      <c r="F75" s="79" t="s">
        <v>203</v>
      </c>
      <c r="G75" s="255">
        <f t="shared" si="17"/>
        <v>0</v>
      </c>
      <c r="H75" s="79"/>
      <c r="I75" s="80"/>
      <c r="J75" s="80"/>
      <c r="K75" s="99"/>
      <c r="L75" s="99"/>
      <c r="M75" s="99"/>
      <c r="N75" s="99"/>
      <c r="O75" s="99"/>
      <c r="P75" s="99"/>
      <c r="Q75" s="77">
        <f t="shared" si="18"/>
        <v>0</v>
      </c>
      <c r="R75" s="99"/>
      <c r="S75" s="81"/>
      <c r="T75" s="100">
        <v>23400000</v>
      </c>
      <c r="U75" s="190"/>
      <c r="V75" s="100">
        <v>23400000</v>
      </c>
      <c r="W75" s="81"/>
      <c r="X75" s="81"/>
      <c r="Y75" s="81"/>
      <c r="Z75" s="81"/>
      <c r="AA75" s="81"/>
      <c r="AB75" s="78"/>
      <c r="AC75" s="83"/>
      <c r="AD75" s="83"/>
      <c r="AE75" s="78"/>
      <c r="AF75" s="81"/>
      <c r="AG75" s="81"/>
      <c r="AH75" s="29"/>
    </row>
    <row r="76" spans="1:34" s="24" customFormat="1" x14ac:dyDescent="0.25">
      <c r="A76" s="78"/>
      <c r="B76" s="78"/>
      <c r="C76" s="78"/>
      <c r="D76" s="78">
        <v>398</v>
      </c>
      <c r="E76" s="78">
        <v>7151</v>
      </c>
      <c r="F76" s="79" t="s">
        <v>203</v>
      </c>
      <c r="G76" s="255">
        <f t="shared" si="17"/>
        <v>0</v>
      </c>
      <c r="H76" s="79"/>
      <c r="I76" s="80"/>
      <c r="J76" s="80"/>
      <c r="K76" s="99"/>
      <c r="L76" s="99"/>
      <c r="M76" s="99"/>
      <c r="N76" s="99"/>
      <c r="O76" s="99"/>
      <c r="P76" s="99"/>
      <c r="Q76" s="77">
        <f t="shared" si="18"/>
        <v>0</v>
      </c>
      <c r="R76" s="99"/>
      <c r="S76" s="81"/>
      <c r="T76" s="100">
        <v>23400000</v>
      </c>
      <c r="U76" s="190"/>
      <c r="V76" s="100">
        <v>23400000</v>
      </c>
      <c r="W76" s="81"/>
      <c r="X76" s="81"/>
      <c r="Y76" s="81"/>
      <c r="Z76" s="81"/>
      <c r="AA76" s="81"/>
      <c r="AB76" s="78"/>
      <c r="AC76" s="83"/>
      <c r="AD76" s="83"/>
      <c r="AE76" s="78"/>
      <c r="AF76" s="81"/>
      <c r="AG76" s="81"/>
      <c r="AH76" s="29"/>
    </row>
    <row r="77" spans="1:34" s="24" customFormat="1" x14ac:dyDescent="0.25">
      <c r="A77" s="78"/>
      <c r="B77" s="78"/>
      <c r="C77" s="78"/>
      <c r="D77" s="78">
        <v>398</v>
      </c>
      <c r="E77" s="78">
        <v>7152</v>
      </c>
      <c r="F77" s="79" t="s">
        <v>204</v>
      </c>
      <c r="G77" s="255">
        <f t="shared" si="17"/>
        <v>0</v>
      </c>
      <c r="H77" s="79"/>
      <c r="I77" s="80"/>
      <c r="J77" s="80"/>
      <c r="K77" s="99"/>
      <c r="L77" s="99"/>
      <c r="M77" s="99"/>
      <c r="N77" s="99"/>
      <c r="O77" s="99"/>
      <c r="P77" s="99"/>
      <c r="Q77" s="77">
        <f t="shared" si="18"/>
        <v>0</v>
      </c>
      <c r="R77" s="99"/>
      <c r="S77" s="81"/>
      <c r="T77" s="81">
        <f>T76+23400000+23400000+50600000</f>
        <v>120800000</v>
      </c>
      <c r="U77" s="81"/>
      <c r="V77" s="81">
        <f>T77</f>
        <v>120800000</v>
      </c>
      <c r="W77" s="81"/>
      <c r="X77" s="81"/>
      <c r="Y77" s="81"/>
      <c r="Z77" s="81"/>
      <c r="AA77" s="81"/>
      <c r="AB77" s="78"/>
      <c r="AC77" s="83"/>
      <c r="AD77" s="83"/>
      <c r="AE77" s="78"/>
      <c r="AF77" s="81"/>
      <c r="AG77" s="81"/>
      <c r="AH77" s="29"/>
    </row>
    <row r="78" spans="1:34" s="24" customFormat="1" ht="34.5" customHeight="1" x14ac:dyDescent="0.25">
      <c r="A78" s="262"/>
      <c r="B78" s="262"/>
      <c r="C78" s="262"/>
      <c r="D78" s="262">
        <v>398</v>
      </c>
      <c r="E78" s="262">
        <v>7151</v>
      </c>
      <c r="F78" s="85" t="s">
        <v>64</v>
      </c>
      <c r="G78" s="255">
        <f t="shared" si="17"/>
        <v>13000000</v>
      </c>
      <c r="H78" s="85"/>
      <c r="I78" s="77">
        <f>J78+S78</f>
        <v>13000000</v>
      </c>
      <c r="J78" s="77">
        <f>K78+L78+M78+N78</f>
        <v>13000000</v>
      </c>
      <c r="K78" s="98"/>
      <c r="L78" s="98">
        <f>13000*1000</f>
        <v>13000000</v>
      </c>
      <c r="M78" s="98"/>
      <c r="N78" s="98"/>
      <c r="O78" s="98"/>
      <c r="P78" s="98"/>
      <c r="Q78" s="77">
        <f t="shared" si="18"/>
        <v>0</v>
      </c>
      <c r="R78" s="98"/>
      <c r="S78" s="75"/>
      <c r="T78" s="75">
        <f>SUM(T79:T80)</f>
        <v>11760000</v>
      </c>
      <c r="U78" s="75">
        <f>SUM(U79:U80)</f>
        <v>0</v>
      </c>
      <c r="V78" s="75">
        <f>SUM(V79:V80)</f>
        <v>11760000</v>
      </c>
      <c r="W78" s="75"/>
      <c r="X78" s="75"/>
      <c r="Y78" s="75"/>
      <c r="Z78" s="75"/>
      <c r="AA78" s="75">
        <f>I78-T78</f>
        <v>1240000</v>
      </c>
      <c r="AB78" s="262"/>
      <c r="AC78" s="86">
        <f>AA78</f>
        <v>1240000</v>
      </c>
      <c r="AD78" s="86"/>
      <c r="AE78" s="262"/>
      <c r="AF78" s="75"/>
      <c r="AG78" s="75"/>
      <c r="AH78" s="29"/>
    </row>
    <row r="79" spans="1:34" s="19" customFormat="1" ht="14.25" customHeight="1" x14ac:dyDescent="0.25">
      <c r="A79" s="78"/>
      <c r="B79" s="78"/>
      <c r="C79" s="78"/>
      <c r="D79" s="78">
        <v>398</v>
      </c>
      <c r="E79" s="78">
        <v>7151</v>
      </c>
      <c r="F79" s="79" t="s">
        <v>201</v>
      </c>
      <c r="G79" s="255">
        <f t="shared" si="17"/>
        <v>0</v>
      </c>
      <c r="H79" s="79"/>
      <c r="I79" s="80"/>
      <c r="J79" s="80"/>
      <c r="K79" s="99"/>
      <c r="L79" s="99"/>
      <c r="M79" s="99"/>
      <c r="N79" s="99"/>
      <c r="O79" s="99"/>
      <c r="P79" s="99"/>
      <c r="Q79" s="77">
        <f t="shared" si="18"/>
        <v>0</v>
      </c>
      <c r="R79" s="99"/>
      <c r="S79" s="81"/>
      <c r="T79" s="81">
        <v>6760000</v>
      </c>
      <c r="U79" s="93"/>
      <c r="V79" s="81">
        <f>T79</f>
        <v>6760000</v>
      </c>
      <c r="W79" s="81"/>
      <c r="X79" s="81"/>
      <c r="Y79" s="81"/>
      <c r="Z79" s="81"/>
      <c r="AA79" s="81"/>
      <c r="AB79" s="78"/>
      <c r="AC79" s="83"/>
      <c r="AD79" s="83"/>
      <c r="AE79" s="78"/>
      <c r="AF79" s="81"/>
      <c r="AG79" s="81"/>
      <c r="AH79" s="32"/>
    </row>
    <row r="80" spans="1:34" s="19" customFormat="1" ht="14.25" customHeight="1" x14ac:dyDescent="0.25">
      <c r="A80" s="78"/>
      <c r="B80" s="78"/>
      <c r="C80" s="78"/>
      <c r="D80" s="78"/>
      <c r="E80" s="78">
        <v>7152</v>
      </c>
      <c r="F80" s="79" t="s">
        <v>201</v>
      </c>
      <c r="G80" s="255">
        <f t="shared" si="17"/>
        <v>0</v>
      </c>
      <c r="H80" s="79"/>
      <c r="I80" s="80"/>
      <c r="J80" s="80"/>
      <c r="K80" s="99"/>
      <c r="L80" s="99"/>
      <c r="M80" s="99"/>
      <c r="N80" s="99"/>
      <c r="O80" s="99"/>
      <c r="P80" s="99"/>
      <c r="Q80" s="77">
        <f t="shared" si="18"/>
        <v>0</v>
      </c>
      <c r="R80" s="99"/>
      <c r="S80" s="81"/>
      <c r="T80" s="81">
        <f>2000000+1000000+1000000+1000000</f>
        <v>5000000</v>
      </c>
      <c r="U80" s="93"/>
      <c r="V80" s="81">
        <f>T80</f>
        <v>5000000</v>
      </c>
      <c r="W80" s="81"/>
      <c r="X80" s="81"/>
      <c r="Y80" s="81"/>
      <c r="Z80" s="81"/>
      <c r="AA80" s="81"/>
      <c r="AB80" s="78"/>
      <c r="AC80" s="83"/>
      <c r="AD80" s="83"/>
      <c r="AE80" s="78"/>
      <c r="AF80" s="81"/>
      <c r="AG80" s="81"/>
      <c r="AH80" s="32"/>
    </row>
    <row r="81" spans="1:34" s="24" customFormat="1" ht="24" customHeight="1" x14ac:dyDescent="0.25">
      <c r="A81" s="262"/>
      <c r="B81" s="262"/>
      <c r="C81" s="262"/>
      <c r="D81" s="262">
        <v>398</v>
      </c>
      <c r="E81" s="262"/>
      <c r="F81" s="85" t="s">
        <v>65</v>
      </c>
      <c r="G81" s="255">
        <f t="shared" si="17"/>
        <v>712500000</v>
      </c>
      <c r="H81" s="85"/>
      <c r="I81" s="77">
        <f>J81+S81</f>
        <v>712500000</v>
      </c>
      <c r="J81" s="77">
        <f>K81+L81+M81+N81</f>
        <v>679000000</v>
      </c>
      <c r="K81" s="98"/>
      <c r="L81" s="94">
        <f>679000*1000</f>
        <v>679000000</v>
      </c>
      <c r="M81" s="98"/>
      <c r="N81" s="98"/>
      <c r="O81" s="98"/>
      <c r="P81" s="98"/>
      <c r="Q81" s="77">
        <f t="shared" si="18"/>
        <v>33500000</v>
      </c>
      <c r="R81" s="98"/>
      <c r="S81" s="75">
        <v>33500000</v>
      </c>
      <c r="T81" s="75">
        <f>T82</f>
        <v>712500000</v>
      </c>
      <c r="U81" s="75"/>
      <c r="V81" s="75">
        <f>V82</f>
        <v>712500000</v>
      </c>
      <c r="W81" s="75"/>
      <c r="X81" s="75"/>
      <c r="Y81" s="75"/>
      <c r="Z81" s="75"/>
      <c r="AA81" s="75">
        <f>I81-T81</f>
        <v>0</v>
      </c>
      <c r="AB81" s="75"/>
      <c r="AC81" s="75">
        <f>AA81</f>
        <v>0</v>
      </c>
      <c r="AD81" s="75"/>
      <c r="AE81" s="262"/>
      <c r="AF81" s="75"/>
      <c r="AG81" s="75"/>
      <c r="AH81" s="29"/>
    </row>
    <row r="82" spans="1:34" s="24" customFormat="1" ht="21.75" customHeight="1" x14ac:dyDescent="0.25">
      <c r="A82" s="262"/>
      <c r="B82" s="262"/>
      <c r="C82" s="262"/>
      <c r="D82" s="78">
        <v>398</v>
      </c>
      <c r="E82" s="78">
        <v>7162</v>
      </c>
      <c r="F82" s="79" t="s">
        <v>265</v>
      </c>
      <c r="G82" s="255">
        <f t="shared" si="17"/>
        <v>0</v>
      </c>
      <c r="H82" s="85"/>
      <c r="I82" s="77"/>
      <c r="J82" s="77"/>
      <c r="K82" s="98"/>
      <c r="L82" s="98"/>
      <c r="M82" s="98"/>
      <c r="N82" s="98"/>
      <c r="O82" s="98"/>
      <c r="P82" s="98"/>
      <c r="Q82" s="77">
        <f t="shared" si="18"/>
        <v>0</v>
      </c>
      <c r="R82" s="98"/>
      <c r="S82" s="75"/>
      <c r="T82" s="81">
        <f>I81</f>
        <v>712500000</v>
      </c>
      <c r="U82" s="81"/>
      <c r="V82" s="81">
        <f>T82</f>
        <v>712500000</v>
      </c>
      <c r="W82" s="75"/>
      <c r="X82" s="75"/>
      <c r="Y82" s="75"/>
      <c r="Z82" s="75"/>
      <c r="AA82" s="75"/>
      <c r="AB82" s="75"/>
      <c r="AC82" s="75"/>
      <c r="AD82" s="75"/>
      <c r="AE82" s="262"/>
      <c r="AF82" s="75"/>
      <c r="AG82" s="75"/>
      <c r="AH82" s="29"/>
    </row>
    <row r="83" spans="1:34" s="24" customFormat="1" ht="21" customHeight="1" x14ac:dyDescent="0.25">
      <c r="A83" s="262"/>
      <c r="B83" s="262"/>
      <c r="C83" s="262"/>
      <c r="D83" s="262">
        <v>398</v>
      </c>
      <c r="E83" s="262"/>
      <c r="F83" s="85" t="s">
        <v>66</v>
      </c>
      <c r="G83" s="255">
        <f t="shared" si="17"/>
        <v>50000000</v>
      </c>
      <c r="H83" s="85"/>
      <c r="I83" s="77">
        <f>J83+S83</f>
        <v>50000000</v>
      </c>
      <c r="J83" s="77">
        <f>K83+L83+M83+N83</f>
        <v>50000000</v>
      </c>
      <c r="K83" s="98"/>
      <c r="L83" s="98">
        <f>50000000</f>
        <v>50000000</v>
      </c>
      <c r="M83" s="98"/>
      <c r="N83" s="98"/>
      <c r="O83" s="98"/>
      <c r="P83" s="98"/>
      <c r="Q83" s="77">
        <f t="shared" si="18"/>
        <v>0</v>
      </c>
      <c r="R83" s="98"/>
      <c r="S83" s="75"/>
      <c r="T83" s="75">
        <f>SUM(T84:T87)</f>
        <v>28194000</v>
      </c>
      <c r="U83" s="75">
        <f>SUM(U84:U87)</f>
        <v>0</v>
      </c>
      <c r="V83" s="75">
        <f>SUM(V84:V87)</f>
        <v>28194000</v>
      </c>
      <c r="W83" s="75"/>
      <c r="X83" s="75"/>
      <c r="Y83" s="75"/>
      <c r="Z83" s="75"/>
      <c r="AA83" s="75">
        <f>I83-T83</f>
        <v>21806000</v>
      </c>
      <c r="AB83" s="262"/>
      <c r="AC83" s="86">
        <f>AA83</f>
        <v>21806000</v>
      </c>
      <c r="AD83" s="86"/>
      <c r="AE83" s="262"/>
      <c r="AF83" s="75"/>
      <c r="AG83" s="75"/>
      <c r="AH83" s="29"/>
    </row>
    <row r="84" spans="1:34" s="24" customFormat="1" ht="26.25" customHeight="1" x14ac:dyDescent="0.25">
      <c r="A84" s="78"/>
      <c r="B84" s="78"/>
      <c r="C84" s="78"/>
      <c r="D84" s="78">
        <v>398</v>
      </c>
      <c r="E84" s="78">
        <v>6449</v>
      </c>
      <c r="F84" s="79" t="s">
        <v>199</v>
      </c>
      <c r="G84" s="255">
        <f t="shared" si="17"/>
        <v>0</v>
      </c>
      <c r="H84" s="79"/>
      <c r="I84" s="80"/>
      <c r="J84" s="80"/>
      <c r="K84" s="99"/>
      <c r="L84" s="99"/>
      <c r="M84" s="99"/>
      <c r="N84" s="99"/>
      <c r="O84" s="99"/>
      <c r="P84" s="99"/>
      <c r="Q84" s="77">
        <f t="shared" si="18"/>
        <v>0</v>
      </c>
      <c r="R84" s="99"/>
      <c r="S84" s="81"/>
      <c r="T84" s="81">
        <v>9710000</v>
      </c>
      <c r="U84" s="82"/>
      <c r="V84" s="81">
        <f>T84</f>
        <v>9710000</v>
      </c>
      <c r="W84" s="81"/>
      <c r="X84" s="81"/>
      <c r="Y84" s="81"/>
      <c r="Z84" s="81"/>
      <c r="AA84" s="81"/>
      <c r="AB84" s="78"/>
      <c r="AC84" s="83"/>
      <c r="AD84" s="83"/>
      <c r="AE84" s="78"/>
      <c r="AF84" s="81"/>
      <c r="AG84" s="81"/>
      <c r="AH84" s="29"/>
    </row>
    <row r="85" spans="1:34" s="24" customFormat="1" ht="24.75" customHeight="1" x14ac:dyDescent="0.25">
      <c r="A85" s="78"/>
      <c r="B85" s="78"/>
      <c r="C85" s="78"/>
      <c r="D85" s="78">
        <v>398</v>
      </c>
      <c r="E85" s="78">
        <v>6551</v>
      </c>
      <c r="F85" s="79" t="s">
        <v>200</v>
      </c>
      <c r="G85" s="255">
        <f t="shared" si="17"/>
        <v>0</v>
      </c>
      <c r="H85" s="79"/>
      <c r="I85" s="80"/>
      <c r="J85" s="80"/>
      <c r="K85" s="99"/>
      <c r="L85" s="99"/>
      <c r="M85" s="99"/>
      <c r="N85" s="99"/>
      <c r="O85" s="99"/>
      <c r="P85" s="99"/>
      <c r="Q85" s="77">
        <f t="shared" si="18"/>
        <v>0</v>
      </c>
      <c r="R85" s="99"/>
      <c r="S85" s="81"/>
      <c r="T85" s="81">
        <v>5820000</v>
      </c>
      <c r="U85" s="82"/>
      <c r="V85" s="81">
        <f>T85</f>
        <v>5820000</v>
      </c>
      <c r="W85" s="81"/>
      <c r="X85" s="81"/>
      <c r="Y85" s="81"/>
      <c r="Z85" s="81"/>
      <c r="AA85" s="81"/>
      <c r="AB85" s="78"/>
      <c r="AC85" s="83"/>
      <c r="AD85" s="83"/>
      <c r="AE85" s="78"/>
      <c r="AF85" s="81"/>
      <c r="AG85" s="81"/>
      <c r="AH85" s="29"/>
    </row>
    <row r="86" spans="1:34" s="24" customFormat="1" ht="15" customHeight="1" x14ac:dyDescent="0.25">
      <c r="A86" s="78"/>
      <c r="B86" s="78"/>
      <c r="C86" s="78"/>
      <c r="D86" s="78">
        <v>398</v>
      </c>
      <c r="E86" s="78">
        <v>6552</v>
      </c>
      <c r="F86" s="79" t="s">
        <v>266</v>
      </c>
      <c r="G86" s="255">
        <f t="shared" si="17"/>
        <v>0</v>
      </c>
      <c r="H86" s="79"/>
      <c r="I86" s="80"/>
      <c r="J86" s="80"/>
      <c r="K86" s="99"/>
      <c r="L86" s="99"/>
      <c r="M86" s="99"/>
      <c r="N86" s="99"/>
      <c r="O86" s="99"/>
      <c r="P86" s="99"/>
      <c r="Q86" s="77">
        <f t="shared" si="18"/>
        <v>0</v>
      </c>
      <c r="R86" s="99"/>
      <c r="S86" s="81"/>
      <c r="T86" s="81">
        <v>2916000</v>
      </c>
      <c r="U86" s="82"/>
      <c r="V86" s="81">
        <f>T86</f>
        <v>2916000</v>
      </c>
      <c r="W86" s="81"/>
      <c r="X86" s="81"/>
      <c r="Y86" s="81"/>
      <c r="Z86" s="81"/>
      <c r="AA86" s="81"/>
      <c r="AB86" s="78"/>
      <c r="AC86" s="83"/>
      <c r="AD86" s="83"/>
      <c r="AE86" s="78"/>
      <c r="AF86" s="81"/>
      <c r="AG86" s="81"/>
      <c r="AH86" s="29"/>
    </row>
    <row r="87" spans="1:34" s="24" customFormat="1" ht="16.5" customHeight="1" x14ac:dyDescent="0.25">
      <c r="A87" s="78"/>
      <c r="B87" s="78"/>
      <c r="C87" s="78"/>
      <c r="D87" s="78">
        <v>398</v>
      </c>
      <c r="E87" s="78">
        <v>7799</v>
      </c>
      <c r="F87" s="79" t="s">
        <v>210</v>
      </c>
      <c r="G87" s="255">
        <f t="shared" si="17"/>
        <v>0</v>
      </c>
      <c r="H87" s="79"/>
      <c r="I87" s="80"/>
      <c r="J87" s="80"/>
      <c r="K87" s="99"/>
      <c r="L87" s="99"/>
      <c r="M87" s="99"/>
      <c r="N87" s="99"/>
      <c r="O87" s="99"/>
      <c r="P87" s="99"/>
      <c r="Q87" s="77">
        <f t="shared" si="18"/>
        <v>0</v>
      </c>
      <c r="R87" s="99"/>
      <c r="S87" s="81"/>
      <c r="T87" s="81">
        <v>9748000</v>
      </c>
      <c r="U87" s="82"/>
      <c r="V87" s="81">
        <f>T87</f>
        <v>9748000</v>
      </c>
      <c r="W87" s="81"/>
      <c r="X87" s="81"/>
      <c r="Y87" s="81"/>
      <c r="Z87" s="81"/>
      <c r="AA87" s="81"/>
      <c r="AB87" s="78"/>
      <c r="AC87" s="83"/>
      <c r="AD87" s="83"/>
      <c r="AE87" s="78"/>
      <c r="AF87" s="81"/>
      <c r="AG87" s="81"/>
      <c r="AH87" s="29"/>
    </row>
    <row r="88" spans="1:34" s="24" customFormat="1" ht="27" customHeight="1" x14ac:dyDescent="0.15">
      <c r="A88" s="262"/>
      <c r="B88" s="262"/>
      <c r="C88" s="262"/>
      <c r="D88" s="262">
        <v>398</v>
      </c>
      <c r="E88" s="262"/>
      <c r="F88" s="254" t="s">
        <v>18</v>
      </c>
      <c r="G88" s="255">
        <f>H88+I88</f>
        <v>5100000000</v>
      </c>
      <c r="H88" s="101"/>
      <c r="I88" s="77">
        <f>J88+S88</f>
        <v>5100000000</v>
      </c>
      <c r="J88" s="77"/>
      <c r="K88" s="98"/>
      <c r="L88" s="98"/>
      <c r="M88" s="98"/>
      <c r="N88" s="98"/>
      <c r="O88" s="98"/>
      <c r="P88" s="98"/>
      <c r="Q88" s="77">
        <f t="shared" si="18"/>
        <v>5100000000</v>
      </c>
      <c r="R88" s="98"/>
      <c r="S88" s="75">
        <v>5100000000</v>
      </c>
      <c r="T88" s="102">
        <f>SUM(T89:T90)</f>
        <v>4818500000</v>
      </c>
      <c r="U88" s="102">
        <f>SUM(U89:U90)</f>
        <v>0</v>
      </c>
      <c r="V88" s="102">
        <f>SUM(V89:V90)</f>
        <v>4818500000</v>
      </c>
      <c r="W88" s="75"/>
      <c r="X88" s="75"/>
      <c r="Y88" s="75"/>
      <c r="Z88" s="75"/>
      <c r="AA88" s="75">
        <f>I88-T88</f>
        <v>281500000</v>
      </c>
      <c r="AB88" s="262"/>
      <c r="AC88" s="86">
        <f>AA88</f>
        <v>281500000</v>
      </c>
      <c r="AD88" s="86"/>
      <c r="AE88" s="262"/>
      <c r="AF88" s="75"/>
      <c r="AG88" s="75"/>
      <c r="AH88" s="29"/>
    </row>
    <row r="89" spans="1:34" s="24" customFormat="1" ht="13.5" customHeight="1" x14ac:dyDescent="0.15">
      <c r="A89" s="78"/>
      <c r="B89" s="78"/>
      <c r="C89" s="78"/>
      <c r="D89" s="78">
        <v>398</v>
      </c>
      <c r="E89" s="78">
        <v>7455</v>
      </c>
      <c r="F89" s="79" t="s">
        <v>205</v>
      </c>
      <c r="G89" s="255">
        <f t="shared" si="17"/>
        <v>0</v>
      </c>
      <c r="H89" s="103"/>
      <c r="I89" s="80"/>
      <c r="J89" s="80"/>
      <c r="K89" s="99"/>
      <c r="L89" s="99"/>
      <c r="M89" s="99"/>
      <c r="N89" s="99"/>
      <c r="O89" s="99"/>
      <c r="P89" s="99"/>
      <c r="Q89" s="77">
        <f t="shared" si="18"/>
        <v>0</v>
      </c>
      <c r="R89" s="99"/>
      <c r="S89" s="81"/>
      <c r="T89" s="142">
        <f>1679500000+950500000+954000000+964500000</f>
        <v>4548500000</v>
      </c>
      <c r="U89" s="82"/>
      <c r="V89" s="142">
        <f>T89</f>
        <v>4548500000</v>
      </c>
      <c r="W89" s="81"/>
      <c r="X89" s="81"/>
      <c r="Y89" s="81"/>
      <c r="Z89" s="81"/>
      <c r="AA89" s="81"/>
      <c r="AB89" s="78"/>
      <c r="AC89" s="83"/>
      <c r="AD89" s="83"/>
      <c r="AE89" s="78"/>
      <c r="AF89" s="81"/>
      <c r="AG89" s="81"/>
      <c r="AH89" s="29"/>
    </row>
    <row r="90" spans="1:34" s="24" customFormat="1" ht="13.5" customHeight="1" x14ac:dyDescent="0.15">
      <c r="A90" s="78"/>
      <c r="B90" s="78"/>
      <c r="C90" s="78"/>
      <c r="D90" s="78">
        <v>398</v>
      </c>
      <c r="E90" s="78">
        <v>7499</v>
      </c>
      <c r="F90" s="79" t="s">
        <v>206</v>
      </c>
      <c r="G90" s="255">
        <f t="shared" si="17"/>
        <v>0</v>
      </c>
      <c r="H90" s="103"/>
      <c r="I90" s="80"/>
      <c r="J90" s="80"/>
      <c r="K90" s="99"/>
      <c r="L90" s="99"/>
      <c r="M90" s="99"/>
      <c r="N90" s="99"/>
      <c r="O90" s="99"/>
      <c r="P90" s="99"/>
      <c r="Q90" s="77">
        <f t="shared" si="18"/>
        <v>0</v>
      </c>
      <c r="R90" s="99"/>
      <c r="S90" s="81"/>
      <c r="T90" s="142">
        <f>90000000+60000000+80000000+40000000</f>
        <v>270000000</v>
      </c>
      <c r="U90" s="82"/>
      <c r="V90" s="142">
        <f>T90</f>
        <v>270000000</v>
      </c>
      <c r="W90" s="81"/>
      <c r="X90" s="81"/>
      <c r="Y90" s="81"/>
      <c r="Z90" s="81"/>
      <c r="AA90" s="81"/>
      <c r="AB90" s="78"/>
      <c r="AC90" s="83"/>
      <c r="AD90" s="83"/>
      <c r="AE90" s="78"/>
      <c r="AF90" s="81"/>
      <c r="AG90" s="81"/>
      <c r="AH90" s="29"/>
    </row>
    <row r="91" spans="1:34" s="24" customFormat="1" ht="29.25" customHeight="1" x14ac:dyDescent="0.15">
      <c r="A91" s="262"/>
      <c r="B91" s="262"/>
      <c r="C91" s="262"/>
      <c r="D91" s="262">
        <v>398</v>
      </c>
      <c r="E91" s="262"/>
      <c r="F91" s="254" t="s">
        <v>316</v>
      </c>
      <c r="G91" s="255">
        <f t="shared" si="17"/>
        <v>2200000000</v>
      </c>
      <c r="H91" s="101"/>
      <c r="I91" s="77">
        <f>J91+S91</f>
        <v>2200000000</v>
      </c>
      <c r="J91" s="77"/>
      <c r="K91" s="98"/>
      <c r="L91" s="98"/>
      <c r="M91" s="98"/>
      <c r="N91" s="98"/>
      <c r="O91" s="98"/>
      <c r="P91" s="98"/>
      <c r="Q91" s="77">
        <f t="shared" si="18"/>
        <v>2200000000</v>
      </c>
      <c r="R91" s="98"/>
      <c r="S91" s="75">
        <v>2200000000</v>
      </c>
      <c r="T91" s="75"/>
      <c r="U91" s="74"/>
      <c r="V91" s="75"/>
      <c r="W91" s="75"/>
      <c r="X91" s="75"/>
      <c r="Y91" s="75"/>
      <c r="Z91" s="75"/>
      <c r="AA91" s="86">
        <f>AC91</f>
        <v>2200000000</v>
      </c>
      <c r="AB91" s="75"/>
      <c r="AC91" s="75">
        <f>'[4]mẫu 48'!C174</f>
        <v>2200000000</v>
      </c>
      <c r="AD91" s="75"/>
      <c r="AE91" s="262"/>
      <c r="AF91" s="75"/>
      <c r="AG91" s="75"/>
      <c r="AH91" s="29"/>
    </row>
    <row r="92" spans="1:34" s="24" customFormat="1" ht="33.75" customHeight="1" x14ac:dyDescent="0.25">
      <c r="A92" s="262"/>
      <c r="B92" s="262"/>
      <c r="C92" s="262"/>
      <c r="D92" s="262">
        <v>398</v>
      </c>
      <c r="E92" s="262"/>
      <c r="F92" s="76" t="s">
        <v>105</v>
      </c>
      <c r="G92" s="255">
        <f t="shared" si="17"/>
        <v>366500000</v>
      </c>
      <c r="H92" s="76"/>
      <c r="I92" s="77">
        <f>J92+S92</f>
        <v>366500000</v>
      </c>
      <c r="J92" s="77">
        <f>K92+L92+M92+N92+O92+P92</f>
        <v>0</v>
      </c>
      <c r="K92" s="77"/>
      <c r="L92" s="77"/>
      <c r="M92" s="77"/>
      <c r="N92" s="75"/>
      <c r="O92" s="75"/>
      <c r="P92" s="75"/>
      <c r="Q92" s="77">
        <f t="shared" si="18"/>
        <v>366500000</v>
      </c>
      <c r="R92" s="75"/>
      <c r="S92" s="75">
        <v>366500000</v>
      </c>
      <c r="T92" s="75">
        <v>355200000</v>
      </c>
      <c r="U92" s="262"/>
      <c r="V92" s="75">
        <v>355200000</v>
      </c>
      <c r="W92" s="75"/>
      <c r="X92" s="75"/>
      <c r="Y92" s="75"/>
      <c r="Z92" s="75"/>
      <c r="AA92" s="86">
        <f>AC92</f>
        <v>11300000</v>
      </c>
      <c r="AB92" s="262"/>
      <c r="AC92" s="86">
        <f>'[4]mẫu 48'!C175</f>
        <v>11300000</v>
      </c>
      <c r="AD92" s="262"/>
      <c r="AE92" s="262"/>
      <c r="AF92" s="75"/>
      <c r="AG92" s="75"/>
      <c r="AH92" s="29"/>
    </row>
    <row r="93" spans="1:34" s="19" customFormat="1" ht="20.25" customHeight="1" x14ac:dyDescent="0.25">
      <c r="A93" s="78"/>
      <c r="B93" s="78"/>
      <c r="C93" s="78"/>
      <c r="D93" s="78">
        <v>398</v>
      </c>
      <c r="E93" s="78">
        <v>7499</v>
      </c>
      <c r="F93" s="84" t="s">
        <v>208</v>
      </c>
      <c r="G93" s="255">
        <f t="shared" si="17"/>
        <v>0</v>
      </c>
      <c r="H93" s="84"/>
      <c r="I93" s="80"/>
      <c r="J93" s="80"/>
      <c r="K93" s="80"/>
      <c r="L93" s="80"/>
      <c r="M93" s="80"/>
      <c r="N93" s="81"/>
      <c r="O93" s="81"/>
      <c r="P93" s="81"/>
      <c r="Q93" s="77">
        <f t="shared" si="18"/>
        <v>0</v>
      </c>
      <c r="R93" s="81"/>
      <c r="S93" s="81"/>
      <c r="T93" s="320">
        <v>355200000</v>
      </c>
      <c r="U93" s="78"/>
      <c r="V93" s="81">
        <f>T93</f>
        <v>355200000</v>
      </c>
      <c r="W93" s="81"/>
      <c r="X93" s="81"/>
      <c r="Y93" s="81"/>
      <c r="Z93" s="81"/>
      <c r="AA93" s="81"/>
      <c r="AB93" s="78"/>
      <c r="AC93" s="83"/>
      <c r="AD93" s="78"/>
      <c r="AE93" s="78"/>
      <c r="AF93" s="81"/>
      <c r="AG93" s="81"/>
      <c r="AH93" s="32"/>
    </row>
    <row r="94" spans="1:34" s="24" customFormat="1" ht="22.5" customHeight="1" x14ac:dyDescent="0.25">
      <c r="A94" s="262">
        <v>5</v>
      </c>
      <c r="B94" s="262"/>
      <c r="C94" s="262"/>
      <c r="D94" s="262"/>
      <c r="E94" s="262"/>
      <c r="F94" s="88" t="s">
        <v>67</v>
      </c>
      <c r="G94" s="255">
        <f t="shared" si="17"/>
        <v>0</v>
      </c>
      <c r="H94" s="88"/>
      <c r="I94" s="77"/>
      <c r="J94" s="77"/>
      <c r="K94" s="77"/>
      <c r="L94" s="77"/>
      <c r="M94" s="77"/>
      <c r="N94" s="77"/>
      <c r="O94" s="77"/>
      <c r="P94" s="77"/>
      <c r="Q94" s="77">
        <f t="shared" si="18"/>
        <v>0</v>
      </c>
      <c r="R94" s="77"/>
      <c r="S94" s="75"/>
      <c r="T94" s="75"/>
      <c r="U94" s="74"/>
      <c r="V94" s="75"/>
      <c r="W94" s="75"/>
      <c r="X94" s="75"/>
      <c r="Y94" s="75"/>
      <c r="Z94" s="75"/>
      <c r="AA94" s="75"/>
      <c r="AB94" s="262"/>
      <c r="AC94" s="262"/>
      <c r="AD94" s="262"/>
      <c r="AE94" s="262"/>
      <c r="AF94" s="75"/>
      <c r="AG94" s="75"/>
      <c r="AH94" s="29"/>
    </row>
    <row r="95" spans="1:34" s="24" customFormat="1" ht="39.75" customHeight="1" x14ac:dyDescent="0.25">
      <c r="A95" s="92"/>
      <c r="B95" s="262">
        <v>832</v>
      </c>
      <c r="C95" s="262">
        <v>130</v>
      </c>
      <c r="D95" s="262">
        <v>133</v>
      </c>
      <c r="E95" s="262">
        <v>6302</v>
      </c>
      <c r="F95" s="203" t="s">
        <v>68</v>
      </c>
      <c r="G95" s="255">
        <f t="shared" si="17"/>
        <v>1643000000</v>
      </c>
      <c r="H95" s="203"/>
      <c r="I95" s="77">
        <v>1643000000</v>
      </c>
      <c r="J95" s="77">
        <f>K95+L95+M95+N95+O95+P95</f>
        <v>1643000000</v>
      </c>
      <c r="K95" s="77"/>
      <c r="L95" s="77"/>
      <c r="M95" s="77"/>
      <c r="N95" s="75"/>
      <c r="O95" s="204"/>
      <c r="P95" s="75">
        <v>1643000000</v>
      </c>
      <c r="Q95" s="77">
        <f t="shared" si="18"/>
        <v>0</v>
      </c>
      <c r="R95" s="75"/>
      <c r="S95" s="75"/>
      <c r="T95" s="75">
        <f>352228500+27665550+39392100+4781700+114874650+2049300</f>
        <v>540991800</v>
      </c>
      <c r="U95" s="74"/>
      <c r="V95" s="75"/>
      <c r="W95" s="75"/>
      <c r="X95" s="75"/>
      <c r="Y95" s="75"/>
      <c r="Z95" s="75">
        <f>T95</f>
        <v>540991800</v>
      </c>
      <c r="AA95" s="75">
        <f>P95-T95</f>
        <v>1102008200</v>
      </c>
      <c r="AB95" s="262"/>
      <c r="AC95" s="262"/>
      <c r="AD95" s="262"/>
      <c r="AE95" s="262"/>
      <c r="AF95" s="75"/>
      <c r="AG95" s="75">
        <f>AA95</f>
        <v>1102008200</v>
      </c>
      <c r="AH95" s="29"/>
    </row>
    <row r="96" spans="1:34" s="24" customFormat="1" ht="24.75" customHeight="1" x14ac:dyDescent="0.25">
      <c r="A96" s="262">
        <v>5.2</v>
      </c>
      <c r="B96" s="262">
        <v>832</v>
      </c>
      <c r="C96" s="262">
        <v>370</v>
      </c>
      <c r="D96" s="262">
        <v>371</v>
      </c>
      <c r="E96" s="262"/>
      <c r="F96" s="88" t="s">
        <v>69</v>
      </c>
      <c r="G96" s="255">
        <f t="shared" si="17"/>
        <v>16015000000</v>
      </c>
      <c r="H96" s="88"/>
      <c r="I96" s="77">
        <f>J96+S96</f>
        <v>16015000000</v>
      </c>
      <c r="J96" s="77">
        <f>K96+L96+M96+N96+O96+P96</f>
        <v>16015000000</v>
      </c>
      <c r="K96" s="77"/>
      <c r="L96" s="77"/>
      <c r="M96" s="77"/>
      <c r="N96" s="75"/>
      <c r="O96" s="204">
        <f>O97</f>
        <v>16015000000</v>
      </c>
      <c r="P96" s="204">
        <f>P97</f>
        <v>0</v>
      </c>
      <c r="Q96" s="77">
        <f t="shared" si="18"/>
        <v>0</v>
      </c>
      <c r="R96" s="204"/>
      <c r="S96" s="75"/>
      <c r="T96" s="75">
        <f>T97</f>
        <v>13120373589</v>
      </c>
      <c r="U96" s="74"/>
      <c r="V96" s="75"/>
      <c r="W96" s="75">
        <f>T96</f>
        <v>13120373589</v>
      </c>
      <c r="X96" s="75"/>
      <c r="Y96" s="75"/>
      <c r="Z96" s="75"/>
      <c r="AA96" s="75">
        <f>J96-W96</f>
        <v>2894626411</v>
      </c>
      <c r="AB96" s="262"/>
      <c r="AC96" s="262"/>
      <c r="AD96" s="86">
        <f>AA96</f>
        <v>2894626411</v>
      </c>
      <c r="AE96" s="262"/>
      <c r="AF96" s="75"/>
      <c r="AG96" s="75"/>
      <c r="AH96" s="29"/>
    </row>
    <row r="97" spans="1:34" s="24" customFormat="1" ht="56.25" customHeight="1" x14ac:dyDescent="0.25">
      <c r="A97" s="262"/>
      <c r="B97" s="262">
        <v>832</v>
      </c>
      <c r="C97" s="262">
        <v>370</v>
      </c>
      <c r="D97" s="262">
        <v>371</v>
      </c>
      <c r="E97" s="262"/>
      <c r="F97" s="88" t="s">
        <v>70</v>
      </c>
      <c r="G97" s="255">
        <f t="shared" si="17"/>
        <v>16015000000</v>
      </c>
      <c r="H97" s="88"/>
      <c r="I97" s="77">
        <f>J97+S97</f>
        <v>16015000000</v>
      </c>
      <c r="J97" s="77">
        <f>K97+L97+M97+N97+O97+P97</f>
        <v>16015000000</v>
      </c>
      <c r="K97" s="77"/>
      <c r="L97" s="77"/>
      <c r="M97" s="77"/>
      <c r="N97" s="75"/>
      <c r="O97" s="204">
        <v>16015000000</v>
      </c>
      <c r="P97" s="75"/>
      <c r="Q97" s="77">
        <f t="shared" si="18"/>
        <v>0</v>
      </c>
      <c r="R97" s="75"/>
      <c r="S97" s="75"/>
      <c r="T97" s="75">
        <f>SUM(T98:T105)</f>
        <v>13120373589</v>
      </c>
      <c r="U97" s="74"/>
      <c r="V97" s="75"/>
      <c r="W97" s="75">
        <f>T97</f>
        <v>13120373589</v>
      </c>
      <c r="X97" s="75"/>
      <c r="Y97" s="75"/>
      <c r="Z97" s="75"/>
      <c r="AA97" s="75">
        <f>I97-T97</f>
        <v>2894626411</v>
      </c>
      <c r="AB97" s="262"/>
      <c r="AC97" s="262"/>
      <c r="AD97" s="86">
        <f>AA97</f>
        <v>2894626411</v>
      </c>
      <c r="AE97" s="262"/>
      <c r="AF97" s="75"/>
      <c r="AG97" s="75"/>
      <c r="AH97" s="29"/>
    </row>
    <row r="98" spans="1:34" s="24" customFormat="1" ht="18" customHeight="1" x14ac:dyDescent="0.25">
      <c r="A98" s="78"/>
      <c r="B98" s="78"/>
      <c r="C98" s="78"/>
      <c r="D98" s="78">
        <v>371</v>
      </c>
      <c r="E98" s="78">
        <v>7151</v>
      </c>
      <c r="F98" s="104" t="s">
        <v>246</v>
      </c>
      <c r="G98" s="255">
        <f t="shared" si="17"/>
        <v>0</v>
      </c>
      <c r="H98" s="104"/>
      <c r="I98" s="80"/>
      <c r="J98" s="80"/>
      <c r="K98" s="80"/>
      <c r="L98" s="80"/>
      <c r="M98" s="80"/>
      <c r="N98" s="81"/>
      <c r="O98" s="105"/>
      <c r="P98" s="81"/>
      <c r="Q98" s="77">
        <f t="shared" si="18"/>
        <v>0</v>
      </c>
      <c r="R98" s="81"/>
      <c r="S98" s="81"/>
      <c r="T98" s="81">
        <f>7858927000+1179857000+1183399000+94770000+1176315000+69660000+1662000</f>
        <v>11564590000</v>
      </c>
      <c r="U98" s="82"/>
      <c r="V98" s="81"/>
      <c r="W98" s="81">
        <f>T98</f>
        <v>11564590000</v>
      </c>
      <c r="X98" s="81"/>
      <c r="Y98" s="81"/>
      <c r="Z98" s="81"/>
      <c r="AA98" s="81"/>
      <c r="AB98" s="78"/>
      <c r="AC98" s="78"/>
      <c r="AD98" s="83"/>
      <c r="AE98" s="78"/>
      <c r="AF98" s="81"/>
      <c r="AG98" s="81"/>
      <c r="AH98" s="29"/>
    </row>
    <row r="99" spans="1:34" s="24" customFormat="1" ht="13.5" customHeight="1" x14ac:dyDescent="0.25">
      <c r="A99" s="78"/>
      <c r="B99" s="78"/>
      <c r="C99" s="78"/>
      <c r="D99" s="78">
        <v>371</v>
      </c>
      <c r="E99" s="78">
        <v>7152</v>
      </c>
      <c r="F99" s="104" t="s">
        <v>248</v>
      </c>
      <c r="G99" s="255">
        <f t="shared" si="17"/>
        <v>0</v>
      </c>
      <c r="H99" s="104"/>
      <c r="I99" s="80"/>
      <c r="J99" s="80"/>
      <c r="K99" s="80"/>
      <c r="L99" s="80"/>
      <c r="M99" s="80"/>
      <c r="N99" s="81"/>
      <c r="O99" s="105"/>
      <c r="P99" s="81"/>
      <c r="Q99" s="77">
        <f t="shared" si="18"/>
        <v>0</v>
      </c>
      <c r="R99" s="81"/>
      <c r="S99" s="81"/>
      <c r="T99" s="81">
        <f>308045600+24800000+477400000+12600000+15400000</f>
        <v>838245600</v>
      </c>
      <c r="U99" s="82"/>
      <c r="V99" s="81"/>
      <c r="W99" s="81">
        <f>T99</f>
        <v>838245600</v>
      </c>
      <c r="X99" s="81"/>
      <c r="Y99" s="81"/>
      <c r="Z99" s="81"/>
      <c r="AA99" s="81"/>
      <c r="AB99" s="78"/>
      <c r="AC99" s="78"/>
      <c r="AD99" s="83"/>
      <c r="AE99" s="78"/>
      <c r="AF99" s="81"/>
      <c r="AG99" s="81"/>
      <c r="AH99" s="29"/>
    </row>
    <row r="100" spans="1:34" s="24" customFormat="1" ht="14.25" customHeight="1" x14ac:dyDescent="0.25">
      <c r="A100" s="78"/>
      <c r="B100" s="78"/>
      <c r="C100" s="78"/>
      <c r="D100" s="78">
        <v>371</v>
      </c>
      <c r="E100" s="78">
        <v>7153</v>
      </c>
      <c r="F100" s="104" t="s">
        <v>247</v>
      </c>
      <c r="G100" s="255">
        <f t="shared" si="17"/>
        <v>0</v>
      </c>
      <c r="H100" s="104"/>
      <c r="I100" s="80"/>
      <c r="J100" s="80"/>
      <c r="K100" s="80"/>
      <c r="L100" s="80"/>
      <c r="M100" s="80"/>
      <c r="N100" s="81"/>
      <c r="O100" s="105"/>
      <c r="P100" s="81"/>
      <c r="Q100" s="77">
        <f t="shared" si="18"/>
        <v>0</v>
      </c>
      <c r="R100" s="81"/>
      <c r="S100" s="81"/>
      <c r="T100" s="81">
        <f>2800000+14000000</f>
        <v>16800000</v>
      </c>
      <c r="U100" s="82"/>
      <c r="V100" s="81"/>
      <c r="W100" s="81">
        <f t="shared" ref="W100:W105" si="19">T100</f>
        <v>16800000</v>
      </c>
      <c r="X100" s="81"/>
      <c r="Y100" s="81"/>
      <c r="Z100" s="81"/>
      <c r="AA100" s="81"/>
      <c r="AB100" s="78"/>
      <c r="AC100" s="78"/>
      <c r="AD100" s="83"/>
      <c r="AE100" s="78"/>
      <c r="AF100" s="81"/>
      <c r="AG100" s="81"/>
      <c r="AH100" s="29"/>
    </row>
    <row r="101" spans="1:34" s="24" customFormat="1" ht="16.5" customHeight="1" x14ac:dyDescent="0.25">
      <c r="A101" s="78"/>
      <c r="B101" s="78"/>
      <c r="C101" s="78"/>
      <c r="D101" s="78">
        <v>371</v>
      </c>
      <c r="E101" s="78">
        <v>7154</v>
      </c>
      <c r="F101" s="104" t="s">
        <v>249</v>
      </c>
      <c r="G101" s="255">
        <f t="shared" si="17"/>
        <v>0</v>
      </c>
      <c r="H101" s="104"/>
      <c r="I101" s="80"/>
      <c r="J101" s="80"/>
      <c r="K101" s="80"/>
      <c r="L101" s="80"/>
      <c r="M101" s="80"/>
      <c r="N101" s="81"/>
      <c r="O101" s="105"/>
      <c r="P101" s="81"/>
      <c r="Q101" s="77">
        <f t="shared" si="18"/>
        <v>0</v>
      </c>
      <c r="R101" s="81"/>
      <c r="S101" s="81"/>
      <c r="T101" s="81">
        <v>23400000</v>
      </c>
      <c r="U101" s="82"/>
      <c r="V101" s="81"/>
      <c r="W101" s="81">
        <f t="shared" si="19"/>
        <v>23400000</v>
      </c>
      <c r="X101" s="81"/>
      <c r="Y101" s="81"/>
      <c r="Z101" s="81"/>
      <c r="AA101" s="81"/>
      <c r="AB101" s="78"/>
      <c r="AC101" s="78"/>
      <c r="AD101" s="83"/>
      <c r="AE101" s="78"/>
      <c r="AF101" s="81"/>
      <c r="AG101" s="81"/>
      <c r="AH101" s="29"/>
    </row>
    <row r="102" spans="1:34" s="24" customFormat="1" ht="21" customHeight="1" x14ac:dyDescent="0.25">
      <c r="A102" s="78"/>
      <c r="B102" s="78"/>
      <c r="C102" s="78"/>
      <c r="D102" s="78">
        <v>371</v>
      </c>
      <c r="E102" s="78">
        <v>7162</v>
      </c>
      <c r="F102" s="104" t="s">
        <v>250</v>
      </c>
      <c r="G102" s="255">
        <f t="shared" si="17"/>
        <v>0</v>
      </c>
      <c r="H102" s="104"/>
      <c r="I102" s="80"/>
      <c r="J102" s="80"/>
      <c r="K102" s="80"/>
      <c r="L102" s="80"/>
      <c r="M102" s="80"/>
      <c r="N102" s="81"/>
      <c r="O102" s="105"/>
      <c r="P102" s="81"/>
      <c r="Q102" s="77">
        <f t="shared" si="18"/>
        <v>0</v>
      </c>
      <c r="R102" s="81"/>
      <c r="S102" s="81"/>
      <c r="T102" s="81">
        <v>405900000</v>
      </c>
      <c r="U102" s="82"/>
      <c r="V102" s="81"/>
      <c r="W102" s="81">
        <f>T102</f>
        <v>405900000</v>
      </c>
      <c r="X102" s="81"/>
      <c r="Y102" s="81"/>
      <c r="Z102" s="81"/>
      <c r="AA102" s="81"/>
      <c r="AB102" s="78"/>
      <c r="AC102" s="78"/>
      <c r="AD102" s="83"/>
      <c r="AE102" s="78"/>
      <c r="AF102" s="81"/>
      <c r="AG102" s="81"/>
      <c r="AH102" s="29"/>
    </row>
    <row r="103" spans="1:34" s="24" customFormat="1" ht="23.25" customHeight="1" x14ac:dyDescent="0.25">
      <c r="A103" s="78"/>
      <c r="B103" s="78"/>
      <c r="C103" s="78"/>
      <c r="D103" s="78">
        <v>371</v>
      </c>
      <c r="E103" s="78">
        <v>7164</v>
      </c>
      <c r="F103" s="104" t="s">
        <v>251</v>
      </c>
      <c r="G103" s="255">
        <f t="shared" si="17"/>
        <v>0</v>
      </c>
      <c r="H103" s="104"/>
      <c r="I103" s="80"/>
      <c r="J103" s="80"/>
      <c r="K103" s="80"/>
      <c r="L103" s="80"/>
      <c r="M103" s="80"/>
      <c r="N103" s="81"/>
      <c r="O103" s="105"/>
      <c r="P103" s="81"/>
      <c r="Q103" s="77">
        <f t="shared" si="18"/>
        <v>0</v>
      </c>
      <c r="R103" s="81"/>
      <c r="S103" s="81"/>
      <c r="T103" s="81">
        <v>20122089</v>
      </c>
      <c r="U103" s="82"/>
      <c r="V103" s="81"/>
      <c r="W103" s="81">
        <f t="shared" si="19"/>
        <v>20122089</v>
      </c>
      <c r="X103" s="81"/>
      <c r="Y103" s="81"/>
      <c r="Z103" s="81"/>
      <c r="AA103" s="81"/>
      <c r="AB103" s="78"/>
      <c r="AC103" s="78"/>
      <c r="AD103" s="83"/>
      <c r="AE103" s="78"/>
      <c r="AF103" s="81"/>
      <c r="AG103" s="81"/>
      <c r="AH103" s="29"/>
    </row>
    <row r="104" spans="1:34" s="24" customFormat="1" ht="14.25" customHeight="1" x14ac:dyDescent="0.25">
      <c r="A104" s="78"/>
      <c r="B104" s="78"/>
      <c r="C104" s="78"/>
      <c r="D104" s="78">
        <v>371</v>
      </c>
      <c r="E104" s="78">
        <v>7165</v>
      </c>
      <c r="F104" s="104" t="s">
        <v>253</v>
      </c>
      <c r="G104" s="255">
        <f t="shared" si="17"/>
        <v>0</v>
      </c>
      <c r="H104" s="104"/>
      <c r="I104" s="80"/>
      <c r="J104" s="80"/>
      <c r="K104" s="80"/>
      <c r="L104" s="80"/>
      <c r="M104" s="80"/>
      <c r="N104" s="81"/>
      <c r="O104" s="105"/>
      <c r="P104" s="81"/>
      <c r="Q104" s="77">
        <f t="shared" si="18"/>
        <v>0</v>
      </c>
      <c r="R104" s="81"/>
      <c r="S104" s="81"/>
      <c r="T104" s="81">
        <v>63058400</v>
      </c>
      <c r="U104" s="82"/>
      <c r="V104" s="81"/>
      <c r="W104" s="81">
        <f t="shared" si="19"/>
        <v>63058400</v>
      </c>
      <c r="X104" s="81"/>
      <c r="Y104" s="81"/>
      <c r="Z104" s="81"/>
      <c r="AA104" s="81"/>
      <c r="AB104" s="78"/>
      <c r="AC104" s="78"/>
      <c r="AD104" s="83"/>
      <c r="AE104" s="78"/>
      <c r="AF104" s="81"/>
      <c r="AG104" s="81"/>
      <c r="AH104" s="29"/>
    </row>
    <row r="105" spans="1:34" s="24" customFormat="1" ht="15.75" customHeight="1" x14ac:dyDescent="0.25">
      <c r="A105" s="78"/>
      <c r="B105" s="78"/>
      <c r="C105" s="78"/>
      <c r="D105" s="78">
        <v>371</v>
      </c>
      <c r="E105" s="78">
        <v>7166</v>
      </c>
      <c r="F105" s="104" t="s">
        <v>252</v>
      </c>
      <c r="G105" s="255">
        <f t="shared" si="17"/>
        <v>0</v>
      </c>
      <c r="H105" s="104"/>
      <c r="I105" s="80"/>
      <c r="J105" s="80"/>
      <c r="K105" s="80"/>
      <c r="L105" s="80"/>
      <c r="M105" s="80"/>
      <c r="N105" s="81"/>
      <c r="O105" s="105"/>
      <c r="P105" s="81"/>
      <c r="Q105" s="77">
        <f t="shared" si="18"/>
        <v>0</v>
      </c>
      <c r="R105" s="81"/>
      <c r="S105" s="81"/>
      <c r="T105" s="81">
        <v>188257500</v>
      </c>
      <c r="U105" s="82"/>
      <c r="V105" s="81"/>
      <c r="W105" s="81">
        <f t="shared" si="19"/>
        <v>188257500</v>
      </c>
      <c r="X105" s="81"/>
      <c r="Y105" s="81"/>
      <c r="Z105" s="81"/>
      <c r="AA105" s="81"/>
      <c r="AB105" s="78"/>
      <c r="AC105" s="78"/>
      <c r="AD105" s="83"/>
      <c r="AE105" s="78"/>
      <c r="AF105" s="81"/>
      <c r="AG105" s="81"/>
      <c r="AH105" s="29"/>
    </row>
    <row r="106" spans="1:34" s="34" customFormat="1" ht="34.5" customHeight="1" x14ac:dyDescent="0.25">
      <c r="A106" s="262">
        <v>6</v>
      </c>
      <c r="B106" s="262">
        <v>832</v>
      </c>
      <c r="C106" s="262">
        <v>340</v>
      </c>
      <c r="D106" s="262">
        <v>341</v>
      </c>
      <c r="E106" s="262">
        <v>7901</v>
      </c>
      <c r="F106" s="76" t="s">
        <v>109</v>
      </c>
      <c r="G106" s="255">
        <f t="shared" si="17"/>
        <v>302570000</v>
      </c>
      <c r="H106" s="76"/>
      <c r="I106" s="77">
        <f t="shared" ref="I106:I111" si="20">J106+S106</f>
        <v>302570000</v>
      </c>
      <c r="J106" s="77">
        <f>K106+L106+M106+N106+O106+P106</f>
        <v>0</v>
      </c>
      <c r="K106" s="77"/>
      <c r="L106" s="77"/>
      <c r="M106" s="77"/>
      <c r="N106" s="75"/>
      <c r="O106" s="75"/>
      <c r="P106" s="75"/>
      <c r="Q106" s="77">
        <f t="shared" si="18"/>
        <v>302570000</v>
      </c>
      <c r="R106" s="75"/>
      <c r="S106" s="75">
        <v>302570000</v>
      </c>
      <c r="T106" s="75">
        <f>S106</f>
        <v>302570000</v>
      </c>
      <c r="U106" s="74"/>
      <c r="V106" s="75">
        <f>T106</f>
        <v>302570000</v>
      </c>
      <c r="W106" s="75"/>
      <c r="X106" s="75"/>
      <c r="Y106" s="75"/>
      <c r="Z106" s="75"/>
      <c r="AA106" s="75"/>
      <c r="AB106" s="262"/>
      <c r="AC106" s="262"/>
      <c r="AD106" s="262"/>
      <c r="AE106" s="262"/>
      <c r="AF106" s="75"/>
      <c r="AG106" s="75"/>
      <c r="AH106" s="33"/>
    </row>
    <row r="107" spans="1:34" s="34" customFormat="1" ht="27.75" customHeight="1" x14ac:dyDescent="0.25">
      <c r="A107" s="262"/>
      <c r="B107" s="262">
        <v>832</v>
      </c>
      <c r="C107" s="262">
        <v>340</v>
      </c>
      <c r="D107" s="262">
        <v>341</v>
      </c>
      <c r="E107" s="262">
        <v>7901</v>
      </c>
      <c r="F107" s="76" t="s">
        <v>109</v>
      </c>
      <c r="G107" s="255">
        <f t="shared" si="17"/>
        <v>2497430000</v>
      </c>
      <c r="H107" s="76"/>
      <c r="I107" s="77">
        <f t="shared" si="20"/>
        <v>2497430000</v>
      </c>
      <c r="J107" s="77">
        <f>K107+L107+M107+N107+O107+P107</f>
        <v>0</v>
      </c>
      <c r="K107" s="77"/>
      <c r="L107" s="77"/>
      <c r="M107" s="77"/>
      <c r="N107" s="75"/>
      <c r="O107" s="75"/>
      <c r="P107" s="75"/>
      <c r="Q107" s="77">
        <f t="shared" si="18"/>
        <v>2497430000</v>
      </c>
      <c r="R107" s="75"/>
      <c r="S107" s="75">
        <v>2497430000</v>
      </c>
      <c r="T107" s="75">
        <f>S107</f>
        <v>2497430000</v>
      </c>
      <c r="U107" s="74"/>
      <c r="V107" s="75">
        <f>T107</f>
        <v>2497430000</v>
      </c>
      <c r="W107" s="75"/>
      <c r="X107" s="75"/>
      <c r="Y107" s="75"/>
      <c r="Z107" s="75"/>
      <c r="AA107" s="75"/>
      <c r="AB107" s="262"/>
      <c r="AC107" s="262"/>
      <c r="AD107" s="262"/>
      <c r="AE107" s="262"/>
      <c r="AF107" s="75"/>
      <c r="AG107" s="75"/>
      <c r="AH107" s="33"/>
    </row>
    <row r="108" spans="1:34" s="34" customFormat="1" ht="36" customHeight="1" x14ac:dyDescent="0.25">
      <c r="A108" s="262"/>
      <c r="B108" s="262">
        <v>832</v>
      </c>
      <c r="C108" s="262">
        <v>340</v>
      </c>
      <c r="D108" s="262">
        <v>341</v>
      </c>
      <c r="E108" s="262">
        <v>7901</v>
      </c>
      <c r="F108" s="76" t="s">
        <v>113</v>
      </c>
      <c r="G108" s="255">
        <f t="shared" si="17"/>
        <v>169092280</v>
      </c>
      <c r="H108" s="76"/>
      <c r="I108" s="77">
        <f t="shared" si="20"/>
        <v>169092280</v>
      </c>
      <c r="J108" s="77">
        <f>K108+L108+M108+N108+O108+P108</f>
        <v>0</v>
      </c>
      <c r="K108" s="77"/>
      <c r="L108" s="77"/>
      <c r="M108" s="77"/>
      <c r="N108" s="75"/>
      <c r="O108" s="75"/>
      <c r="P108" s="75"/>
      <c r="Q108" s="77">
        <f t="shared" si="18"/>
        <v>169092280</v>
      </c>
      <c r="R108" s="75"/>
      <c r="S108" s="75">
        <v>169092280</v>
      </c>
      <c r="T108" s="75">
        <f>S108</f>
        <v>169092280</v>
      </c>
      <c r="U108" s="74"/>
      <c r="V108" s="75">
        <f>T108</f>
        <v>169092280</v>
      </c>
      <c r="W108" s="75"/>
      <c r="X108" s="75"/>
      <c r="Y108" s="75"/>
      <c r="Z108" s="75"/>
      <c r="AA108" s="75"/>
      <c r="AB108" s="262"/>
      <c r="AC108" s="262"/>
      <c r="AD108" s="262"/>
      <c r="AE108" s="262"/>
      <c r="AF108" s="75"/>
      <c r="AG108" s="75"/>
      <c r="AH108" s="33"/>
    </row>
    <row r="109" spans="1:34" s="34" customFormat="1" ht="36.75" customHeight="1" x14ac:dyDescent="0.25">
      <c r="A109" s="262"/>
      <c r="B109" s="262">
        <v>832</v>
      </c>
      <c r="C109" s="262">
        <v>340</v>
      </c>
      <c r="D109" s="262">
        <v>341</v>
      </c>
      <c r="E109" s="262">
        <v>7901</v>
      </c>
      <c r="F109" s="76" t="s">
        <v>113</v>
      </c>
      <c r="G109" s="255">
        <f t="shared" si="17"/>
        <v>265740874</v>
      </c>
      <c r="H109" s="76"/>
      <c r="I109" s="77">
        <f t="shared" si="20"/>
        <v>265740874</v>
      </c>
      <c r="J109" s="77"/>
      <c r="K109" s="77"/>
      <c r="L109" s="77"/>
      <c r="M109" s="77"/>
      <c r="N109" s="75"/>
      <c r="O109" s="75"/>
      <c r="P109" s="75"/>
      <c r="Q109" s="77">
        <f t="shared" si="18"/>
        <v>265740874</v>
      </c>
      <c r="R109" s="75"/>
      <c r="S109" s="75">
        <f>551535000-285794126</f>
        <v>265740874</v>
      </c>
      <c r="T109" s="75">
        <f>S109-1738680+1738680</f>
        <v>265740874</v>
      </c>
      <c r="U109" s="74"/>
      <c r="V109" s="75">
        <f>T109</f>
        <v>265740874</v>
      </c>
      <c r="W109" s="75"/>
      <c r="X109" s="75"/>
      <c r="Y109" s="75"/>
      <c r="Z109" s="75"/>
      <c r="AA109" s="75">
        <f>S109-T109</f>
        <v>0</v>
      </c>
      <c r="AB109" s="262"/>
      <c r="AC109" s="86">
        <f>AA109</f>
        <v>0</v>
      </c>
      <c r="AD109" s="262"/>
      <c r="AE109" s="262"/>
      <c r="AF109" s="75"/>
      <c r="AG109" s="75"/>
      <c r="AH109" s="33"/>
    </row>
    <row r="110" spans="1:34" s="34" customFormat="1" ht="36" customHeight="1" x14ac:dyDescent="0.25">
      <c r="A110" s="262"/>
      <c r="B110" s="262">
        <v>832</v>
      </c>
      <c r="C110" s="262">
        <v>340</v>
      </c>
      <c r="D110" s="262">
        <v>341</v>
      </c>
      <c r="E110" s="262">
        <v>7901</v>
      </c>
      <c r="F110" s="76" t="s">
        <v>113</v>
      </c>
      <c r="G110" s="255">
        <f t="shared" si="17"/>
        <v>1502000</v>
      </c>
      <c r="H110" s="76"/>
      <c r="I110" s="77">
        <f t="shared" si="20"/>
        <v>1502000</v>
      </c>
      <c r="J110" s="77"/>
      <c r="K110" s="77"/>
      <c r="L110" s="77"/>
      <c r="M110" s="77"/>
      <c r="N110" s="75"/>
      <c r="O110" s="75"/>
      <c r="P110" s="75"/>
      <c r="Q110" s="77">
        <f t="shared" si="18"/>
        <v>1502000</v>
      </c>
      <c r="R110" s="75"/>
      <c r="S110" s="75">
        <v>1502000</v>
      </c>
      <c r="T110" s="75">
        <f>S110</f>
        <v>1502000</v>
      </c>
      <c r="U110" s="74"/>
      <c r="V110" s="75">
        <f>T110</f>
        <v>1502000</v>
      </c>
      <c r="W110" s="75"/>
      <c r="X110" s="75"/>
      <c r="Y110" s="75"/>
      <c r="Z110" s="75"/>
      <c r="AA110" s="75"/>
      <c r="AB110" s="262"/>
      <c r="AC110" s="262"/>
      <c r="AD110" s="262"/>
      <c r="AE110" s="262"/>
      <c r="AF110" s="75"/>
      <c r="AG110" s="75"/>
      <c r="AH110" s="33"/>
    </row>
    <row r="111" spans="1:34" s="34" customFormat="1" ht="23.25" customHeight="1" x14ac:dyDescent="0.15">
      <c r="A111" s="262">
        <v>8</v>
      </c>
      <c r="B111" s="262">
        <v>832</v>
      </c>
      <c r="C111" s="262">
        <v>340</v>
      </c>
      <c r="D111" s="262">
        <v>341</v>
      </c>
      <c r="E111" s="262"/>
      <c r="F111" s="101" t="s">
        <v>114</v>
      </c>
      <c r="G111" s="255">
        <f t="shared" si="17"/>
        <v>895000000</v>
      </c>
      <c r="H111" s="101"/>
      <c r="I111" s="77">
        <f t="shared" si="20"/>
        <v>895000000</v>
      </c>
      <c r="J111" s="77">
        <f>K111+L111+M111+N111+O111+P111</f>
        <v>0</v>
      </c>
      <c r="K111" s="77"/>
      <c r="L111" s="77"/>
      <c r="M111" s="77"/>
      <c r="N111" s="75"/>
      <c r="O111" s="75"/>
      <c r="P111" s="75"/>
      <c r="Q111" s="77">
        <f t="shared" si="18"/>
        <v>895000000</v>
      </c>
      <c r="R111" s="75"/>
      <c r="S111" s="75">
        <v>895000000</v>
      </c>
      <c r="T111" s="75">
        <f>SUM(T112:T114)</f>
        <v>199520000</v>
      </c>
      <c r="U111" s="74"/>
      <c r="V111" s="75">
        <f>SUM(V112:V114)</f>
        <v>199520000</v>
      </c>
      <c r="W111" s="75"/>
      <c r="X111" s="75"/>
      <c r="Y111" s="75"/>
      <c r="Z111" s="75"/>
      <c r="AA111" s="75">
        <f>S111-T111</f>
        <v>695480000</v>
      </c>
      <c r="AB111" s="262"/>
      <c r="AC111" s="86">
        <f>AA111</f>
        <v>695480000</v>
      </c>
      <c r="AD111" s="86"/>
      <c r="AE111" s="262"/>
      <c r="AF111" s="75"/>
      <c r="AG111" s="75"/>
      <c r="AH111" s="33"/>
    </row>
    <row r="112" spans="1:34" s="31" customFormat="1" ht="30" customHeight="1" x14ac:dyDescent="0.15">
      <c r="A112" s="78"/>
      <c r="B112" s="78"/>
      <c r="C112" s="78"/>
      <c r="D112" s="78">
        <v>341</v>
      </c>
      <c r="E112" s="78">
        <v>6202</v>
      </c>
      <c r="F112" s="103" t="s">
        <v>144</v>
      </c>
      <c r="G112" s="255">
        <f t="shared" si="17"/>
        <v>0</v>
      </c>
      <c r="H112" s="103"/>
      <c r="I112" s="80"/>
      <c r="J112" s="80"/>
      <c r="K112" s="80"/>
      <c r="L112" s="80"/>
      <c r="M112" s="80"/>
      <c r="N112" s="81"/>
      <c r="O112" s="81"/>
      <c r="P112" s="81"/>
      <c r="Q112" s="77">
        <f t="shared" si="18"/>
        <v>0</v>
      </c>
      <c r="R112" s="81"/>
      <c r="S112" s="81"/>
      <c r="T112" s="81">
        <f>V112</f>
        <v>1420000</v>
      </c>
      <c r="U112" s="82"/>
      <c r="V112" s="81">
        <v>1420000</v>
      </c>
      <c r="W112" s="81"/>
      <c r="X112" s="81"/>
      <c r="Y112" s="81"/>
      <c r="Z112" s="81"/>
      <c r="AA112" s="81"/>
      <c r="AB112" s="78"/>
      <c r="AC112" s="83"/>
      <c r="AD112" s="83"/>
      <c r="AE112" s="78"/>
      <c r="AF112" s="81"/>
      <c r="AG112" s="81"/>
      <c r="AH112" s="30"/>
    </row>
    <row r="113" spans="1:34" s="31" customFormat="1" ht="30.75" customHeight="1" x14ac:dyDescent="0.15">
      <c r="A113" s="78"/>
      <c r="B113" s="78"/>
      <c r="C113" s="78"/>
      <c r="D113" s="78">
        <v>341</v>
      </c>
      <c r="E113" s="78">
        <v>6249</v>
      </c>
      <c r="F113" s="103" t="s">
        <v>145</v>
      </c>
      <c r="G113" s="255">
        <f t="shared" si="17"/>
        <v>0</v>
      </c>
      <c r="H113" s="103"/>
      <c r="I113" s="80"/>
      <c r="J113" s="80"/>
      <c r="K113" s="80"/>
      <c r="L113" s="80"/>
      <c r="M113" s="80"/>
      <c r="N113" s="81"/>
      <c r="O113" s="81"/>
      <c r="P113" s="81"/>
      <c r="Q113" s="77">
        <f t="shared" si="18"/>
        <v>0</v>
      </c>
      <c r="R113" s="81"/>
      <c r="S113" s="81"/>
      <c r="T113" s="81">
        <v>154780000</v>
      </c>
      <c r="U113" s="82"/>
      <c r="V113" s="81">
        <f>T113</f>
        <v>154780000</v>
      </c>
      <c r="W113" s="81"/>
      <c r="X113" s="81"/>
      <c r="Y113" s="81"/>
      <c r="Z113" s="81"/>
      <c r="AA113" s="81"/>
      <c r="AB113" s="78"/>
      <c r="AC113" s="83"/>
      <c r="AD113" s="83"/>
      <c r="AE113" s="78"/>
      <c r="AF113" s="81"/>
      <c r="AG113" s="81"/>
      <c r="AH113" s="30"/>
    </row>
    <row r="114" spans="1:34" s="31" customFormat="1" ht="26.25" customHeight="1" x14ac:dyDescent="0.15">
      <c r="A114" s="78"/>
      <c r="B114" s="78"/>
      <c r="C114" s="78"/>
      <c r="D114" s="78">
        <v>341</v>
      </c>
      <c r="E114" s="78">
        <v>6249</v>
      </c>
      <c r="F114" s="103" t="s">
        <v>317</v>
      </c>
      <c r="G114" s="255"/>
      <c r="H114" s="103"/>
      <c r="I114" s="80"/>
      <c r="J114" s="80"/>
      <c r="K114" s="80"/>
      <c r="L114" s="80"/>
      <c r="M114" s="80"/>
      <c r="N114" s="81"/>
      <c r="O114" s="81"/>
      <c r="P114" s="81"/>
      <c r="Q114" s="77"/>
      <c r="R114" s="81"/>
      <c r="S114" s="81"/>
      <c r="T114" s="81">
        <v>43320000</v>
      </c>
      <c r="U114" s="82"/>
      <c r="V114" s="81">
        <f>T114</f>
        <v>43320000</v>
      </c>
      <c r="W114" s="81"/>
      <c r="X114" s="81"/>
      <c r="Y114" s="81"/>
      <c r="Z114" s="81"/>
      <c r="AA114" s="81"/>
      <c r="AB114" s="78"/>
      <c r="AC114" s="83"/>
      <c r="AD114" s="83"/>
      <c r="AE114" s="78"/>
      <c r="AF114" s="81"/>
      <c r="AG114" s="81"/>
      <c r="AH114" s="30"/>
    </row>
    <row r="115" spans="1:34" s="24" customFormat="1" ht="30.75" customHeight="1" x14ac:dyDescent="0.15">
      <c r="A115" s="262">
        <v>9</v>
      </c>
      <c r="B115" s="262">
        <v>832</v>
      </c>
      <c r="C115" s="262">
        <v>100</v>
      </c>
      <c r="D115" s="262">
        <v>121</v>
      </c>
      <c r="E115" s="262"/>
      <c r="F115" s="101" t="s">
        <v>15</v>
      </c>
      <c r="G115" s="255">
        <f t="shared" si="17"/>
        <v>505700000</v>
      </c>
      <c r="H115" s="101"/>
      <c r="I115" s="77">
        <f>J115+S115</f>
        <v>505700000</v>
      </c>
      <c r="J115" s="77">
        <f>K115+L115+M115+N115+O115+P115</f>
        <v>0</v>
      </c>
      <c r="K115" s="77"/>
      <c r="L115" s="77"/>
      <c r="M115" s="77"/>
      <c r="N115" s="75"/>
      <c r="O115" s="75"/>
      <c r="P115" s="75"/>
      <c r="Q115" s="77">
        <f t="shared" si="18"/>
        <v>505700000</v>
      </c>
      <c r="R115" s="75"/>
      <c r="S115" s="75">
        <v>505700000</v>
      </c>
      <c r="T115" s="75">
        <f>S115</f>
        <v>505700000</v>
      </c>
      <c r="U115" s="74"/>
      <c r="V115" s="75">
        <f>T115</f>
        <v>505700000</v>
      </c>
      <c r="W115" s="75"/>
      <c r="X115" s="75"/>
      <c r="Y115" s="75"/>
      <c r="Z115" s="75"/>
      <c r="AA115" s="75">
        <f>I115-T115</f>
        <v>0</v>
      </c>
      <c r="AB115" s="262"/>
      <c r="AC115" s="262"/>
      <c r="AD115" s="262"/>
      <c r="AE115" s="262"/>
      <c r="AF115" s="75"/>
      <c r="AG115" s="75"/>
      <c r="AH115" s="29"/>
    </row>
    <row r="116" spans="1:34" s="19" customFormat="1" ht="32.25" customHeight="1" x14ac:dyDescent="0.15">
      <c r="A116" s="78"/>
      <c r="B116" s="78"/>
      <c r="C116" s="78"/>
      <c r="D116" s="78">
        <v>121</v>
      </c>
      <c r="E116" s="78">
        <v>6956</v>
      </c>
      <c r="F116" s="103" t="s">
        <v>15</v>
      </c>
      <c r="G116" s="255">
        <f t="shared" si="17"/>
        <v>0</v>
      </c>
      <c r="H116" s="103"/>
      <c r="I116" s="80"/>
      <c r="J116" s="80"/>
      <c r="K116" s="80"/>
      <c r="L116" s="80"/>
      <c r="M116" s="80"/>
      <c r="N116" s="81"/>
      <c r="O116" s="81"/>
      <c r="P116" s="81"/>
      <c r="Q116" s="80">
        <f t="shared" si="18"/>
        <v>505700000</v>
      </c>
      <c r="R116" s="81"/>
      <c r="S116" s="81">
        <f>T116</f>
        <v>505700000</v>
      </c>
      <c r="T116" s="81">
        <f>V116</f>
        <v>505700000</v>
      </c>
      <c r="U116" s="82"/>
      <c r="V116" s="81">
        <f>V115</f>
        <v>505700000</v>
      </c>
      <c r="W116" s="81"/>
      <c r="X116" s="81"/>
      <c r="Y116" s="81"/>
      <c r="Z116" s="81"/>
      <c r="AA116" s="81"/>
      <c r="AB116" s="78"/>
      <c r="AC116" s="78"/>
      <c r="AD116" s="78"/>
      <c r="AE116" s="78"/>
      <c r="AF116" s="81"/>
      <c r="AG116" s="81"/>
      <c r="AH116" s="32"/>
    </row>
    <row r="117" spans="1:34" s="24" customFormat="1" ht="24" customHeight="1" x14ac:dyDescent="0.25">
      <c r="A117" s="266">
        <v>10</v>
      </c>
      <c r="B117" s="266">
        <v>832</v>
      </c>
      <c r="C117" s="266">
        <v>100</v>
      </c>
      <c r="D117" s="266">
        <v>121</v>
      </c>
      <c r="E117" s="266"/>
      <c r="F117" s="205" t="s">
        <v>115</v>
      </c>
      <c r="G117" s="255">
        <f t="shared" si="17"/>
        <v>224100000</v>
      </c>
      <c r="H117" s="205"/>
      <c r="I117" s="206">
        <f>J117+S117</f>
        <v>224100000</v>
      </c>
      <c r="J117" s="206"/>
      <c r="K117" s="206"/>
      <c r="L117" s="206"/>
      <c r="M117" s="206"/>
      <c r="N117" s="207"/>
      <c r="O117" s="207"/>
      <c r="P117" s="207"/>
      <c r="Q117" s="77">
        <f t="shared" si="18"/>
        <v>224100000</v>
      </c>
      <c r="R117" s="207"/>
      <c r="S117" s="207">
        <v>224100000</v>
      </c>
      <c r="T117" s="207"/>
      <c r="U117" s="208"/>
      <c r="V117" s="207"/>
      <c r="W117" s="207"/>
      <c r="X117" s="207"/>
      <c r="Y117" s="207"/>
      <c r="Z117" s="207"/>
      <c r="AA117" s="75">
        <f>I117-T117</f>
        <v>224100000</v>
      </c>
      <c r="AB117" s="262"/>
      <c r="AC117" s="86">
        <f>AA117</f>
        <v>224100000</v>
      </c>
      <c r="AD117" s="86"/>
      <c r="AE117" s="262"/>
      <c r="AF117" s="75"/>
      <c r="AG117" s="75"/>
      <c r="AH117" s="29"/>
    </row>
    <row r="118" spans="1:34" s="24" customFormat="1" ht="36" customHeight="1" x14ac:dyDescent="0.15">
      <c r="A118" s="262">
        <v>11</v>
      </c>
      <c r="B118" s="262">
        <v>832</v>
      </c>
      <c r="C118" s="262">
        <v>100</v>
      </c>
      <c r="D118" s="262">
        <v>121</v>
      </c>
      <c r="E118" s="262"/>
      <c r="F118" s="101" t="s">
        <v>16</v>
      </c>
      <c r="G118" s="255">
        <f t="shared" si="17"/>
        <v>35200000</v>
      </c>
      <c r="H118" s="101"/>
      <c r="I118" s="77">
        <f>J118+S118</f>
        <v>35200000</v>
      </c>
      <c r="J118" s="77"/>
      <c r="K118" s="77"/>
      <c r="L118" s="77"/>
      <c r="M118" s="77"/>
      <c r="N118" s="75"/>
      <c r="O118" s="75"/>
      <c r="P118" s="75"/>
      <c r="Q118" s="77">
        <f t="shared" si="18"/>
        <v>35200000</v>
      </c>
      <c r="R118" s="75"/>
      <c r="S118" s="75">
        <v>35200000</v>
      </c>
      <c r="T118" s="75">
        <f>V118</f>
        <v>35200000</v>
      </c>
      <c r="U118" s="74"/>
      <c r="V118" s="75">
        <f>SUM(V119)</f>
        <v>35200000</v>
      </c>
      <c r="W118" s="75"/>
      <c r="X118" s="75"/>
      <c r="Y118" s="75"/>
      <c r="Z118" s="75"/>
      <c r="AA118" s="75">
        <f>I118-T118</f>
        <v>0</v>
      </c>
      <c r="AB118" s="262"/>
      <c r="AC118" s="262"/>
      <c r="AD118" s="262"/>
      <c r="AE118" s="262"/>
      <c r="AF118" s="75"/>
      <c r="AG118" s="75"/>
      <c r="AH118" s="209"/>
    </row>
    <row r="119" spans="1:34" s="28" customFormat="1" ht="36" customHeight="1" x14ac:dyDescent="0.25">
      <c r="A119" s="210"/>
      <c r="B119" s="210"/>
      <c r="C119" s="210"/>
      <c r="D119" s="78">
        <v>121</v>
      </c>
      <c r="E119" s="78">
        <v>6955</v>
      </c>
      <c r="F119" s="103" t="s">
        <v>139</v>
      </c>
      <c r="G119" s="255">
        <f t="shared" si="17"/>
        <v>0</v>
      </c>
      <c r="H119" s="211"/>
      <c r="I119" s="212"/>
      <c r="J119" s="212"/>
      <c r="K119" s="212"/>
      <c r="L119" s="212"/>
      <c r="M119" s="212"/>
      <c r="N119" s="212"/>
      <c r="O119" s="212"/>
      <c r="P119" s="212"/>
      <c r="Q119" s="77">
        <f t="shared" si="18"/>
        <v>0</v>
      </c>
      <c r="R119" s="212"/>
      <c r="S119" s="212"/>
      <c r="T119" s="212">
        <f>V119</f>
        <v>35200000</v>
      </c>
      <c r="U119" s="213"/>
      <c r="V119" s="212">
        <v>35200000</v>
      </c>
      <c r="W119" s="212"/>
      <c r="X119" s="211"/>
      <c r="Y119" s="211"/>
      <c r="Z119" s="211"/>
      <c r="AA119" s="211"/>
      <c r="AB119" s="211"/>
      <c r="AC119" s="211"/>
      <c r="AD119" s="211"/>
      <c r="AE119" s="211"/>
      <c r="AF119" s="212"/>
      <c r="AG119" s="212"/>
      <c r="AH119" s="214"/>
    </row>
    <row r="120" spans="1:34" s="25" customFormat="1" ht="47.25" customHeight="1" x14ac:dyDescent="0.25">
      <c r="A120" s="106">
        <v>12</v>
      </c>
      <c r="B120" s="106">
        <v>832</v>
      </c>
      <c r="C120" s="106">
        <v>340</v>
      </c>
      <c r="D120" s="106">
        <v>341</v>
      </c>
      <c r="E120" s="106"/>
      <c r="F120" s="107" t="s">
        <v>131</v>
      </c>
      <c r="G120" s="255">
        <f t="shared" si="17"/>
        <v>235487000</v>
      </c>
      <c r="H120" s="133">
        <v>235487000</v>
      </c>
      <c r="I120" s="77">
        <f>J120+S120</f>
        <v>0</v>
      </c>
      <c r="J120" s="77">
        <f>SUM(K120:P120)</f>
        <v>0</v>
      </c>
      <c r="K120" s="132"/>
      <c r="L120" s="132"/>
      <c r="M120" s="132"/>
      <c r="N120" s="132"/>
      <c r="O120" s="132"/>
      <c r="P120" s="132"/>
      <c r="Q120" s="77">
        <f t="shared" si="18"/>
        <v>0</v>
      </c>
      <c r="R120" s="132"/>
      <c r="S120" s="133"/>
      <c r="T120" s="132"/>
      <c r="U120" s="132"/>
      <c r="V120" s="132"/>
      <c r="W120" s="132"/>
      <c r="X120" s="132"/>
      <c r="Y120" s="102"/>
      <c r="Z120" s="132"/>
      <c r="AA120" s="102">
        <f>H120</f>
        <v>235487000</v>
      </c>
      <c r="AB120" s="106"/>
      <c r="AC120" s="102">
        <f>AA120</f>
        <v>235487000</v>
      </c>
      <c r="AD120" s="106"/>
      <c r="AE120" s="106"/>
      <c r="AF120" s="106"/>
      <c r="AG120" s="106"/>
      <c r="AH120" s="73"/>
    </row>
    <row r="121" spans="1:34" s="134" customFormat="1" ht="36" customHeight="1" x14ac:dyDescent="0.25">
      <c r="A121" s="262">
        <v>13</v>
      </c>
      <c r="B121" s="262">
        <v>832</v>
      </c>
      <c r="C121" s="262">
        <v>340</v>
      </c>
      <c r="D121" s="262">
        <v>341</v>
      </c>
      <c r="E121" s="262"/>
      <c r="F121" s="118" t="s">
        <v>273</v>
      </c>
      <c r="G121" s="255">
        <f t="shared" si="17"/>
        <v>9192690</v>
      </c>
      <c r="H121" s="132"/>
      <c r="I121" s="133">
        <f>R121</f>
        <v>9192690</v>
      </c>
      <c r="J121" s="133"/>
      <c r="K121" s="133"/>
      <c r="L121" s="133"/>
      <c r="M121" s="133"/>
      <c r="N121" s="133"/>
      <c r="O121" s="133"/>
      <c r="P121" s="133"/>
      <c r="Q121" s="77">
        <f t="shared" si="18"/>
        <v>9192690</v>
      </c>
      <c r="R121" s="133">
        <v>9192690</v>
      </c>
      <c r="S121" s="133"/>
      <c r="T121" s="133"/>
      <c r="U121" s="186"/>
      <c r="V121" s="133"/>
      <c r="W121" s="133"/>
      <c r="X121" s="132"/>
      <c r="Y121" s="132"/>
      <c r="Z121" s="132"/>
      <c r="AA121" s="102">
        <f>AB121</f>
        <v>9192690</v>
      </c>
      <c r="AB121" s="102">
        <f>R121</f>
        <v>9192690</v>
      </c>
      <c r="AC121" s="132"/>
      <c r="AD121" s="132"/>
      <c r="AE121" s="132"/>
      <c r="AF121" s="133"/>
      <c r="AG121" s="133"/>
      <c r="AH121" s="132"/>
    </row>
    <row r="122" spans="1:34" s="184" customFormat="1" ht="37.5" customHeight="1" x14ac:dyDescent="0.25">
      <c r="A122" s="262">
        <v>14</v>
      </c>
      <c r="B122" s="76">
        <v>830</v>
      </c>
      <c r="C122" s="75">
        <v>370</v>
      </c>
      <c r="D122" s="75">
        <v>398</v>
      </c>
      <c r="E122" s="75"/>
      <c r="F122" s="118" t="s">
        <v>275</v>
      </c>
      <c r="G122" s="255">
        <f t="shared" si="17"/>
        <v>1437641800</v>
      </c>
      <c r="H122" s="224"/>
      <c r="I122" s="225">
        <v>1437641800</v>
      </c>
      <c r="J122" s="225"/>
      <c r="K122" s="225"/>
      <c r="L122" s="225"/>
      <c r="M122" s="225"/>
      <c r="N122" s="225"/>
      <c r="O122" s="225"/>
      <c r="P122" s="225"/>
      <c r="Q122" s="77">
        <f t="shared" si="18"/>
        <v>1437641800</v>
      </c>
      <c r="R122" s="225"/>
      <c r="S122" s="225">
        <f>I122</f>
        <v>1437641800</v>
      </c>
      <c r="T122" s="225">
        <f>S122</f>
        <v>1437641800</v>
      </c>
      <c r="U122" s="226"/>
      <c r="V122" s="225">
        <f>T122</f>
        <v>1437641800</v>
      </c>
      <c r="W122" s="225"/>
      <c r="X122" s="224"/>
      <c r="Y122" s="224"/>
      <c r="Z122" s="224"/>
      <c r="AA122" s="224"/>
      <c r="AB122" s="224"/>
      <c r="AC122" s="224"/>
      <c r="AD122" s="224"/>
      <c r="AE122" s="224"/>
      <c r="AF122" s="225"/>
      <c r="AG122" s="225"/>
      <c r="AH122" s="227"/>
    </row>
    <row r="123" spans="1:34" s="22" customFormat="1" ht="18.75" customHeight="1" x14ac:dyDescent="0.25">
      <c r="A123" s="78"/>
      <c r="B123" s="84"/>
      <c r="C123" s="81"/>
      <c r="D123" s="81">
        <v>398</v>
      </c>
      <c r="E123" s="93" t="s">
        <v>288</v>
      </c>
      <c r="F123" s="223" t="s">
        <v>278</v>
      </c>
      <c r="G123" s="322">
        <f t="shared" si="17"/>
        <v>1437641800</v>
      </c>
      <c r="H123" s="219"/>
      <c r="I123" s="220">
        <f>I122</f>
        <v>1437641800</v>
      </c>
      <c r="J123" s="220"/>
      <c r="K123" s="220"/>
      <c r="L123" s="220"/>
      <c r="M123" s="220"/>
      <c r="N123" s="220"/>
      <c r="O123" s="220"/>
      <c r="P123" s="220"/>
      <c r="Q123" s="77">
        <f t="shared" si="18"/>
        <v>0</v>
      </c>
      <c r="R123" s="220"/>
      <c r="S123" s="220"/>
      <c r="T123" s="220"/>
      <c r="U123" s="221"/>
      <c r="V123" s="220"/>
      <c r="W123" s="220"/>
      <c r="X123" s="219"/>
      <c r="Y123" s="219"/>
      <c r="Z123" s="219"/>
      <c r="AA123" s="219"/>
      <c r="AB123" s="219"/>
      <c r="AC123" s="219"/>
      <c r="AD123" s="219"/>
      <c r="AE123" s="219"/>
      <c r="AF123" s="220"/>
      <c r="AG123" s="220"/>
      <c r="AH123" s="222"/>
    </row>
  </sheetData>
  <autoFilter ref="D1:D121"/>
  <mergeCells count="17">
    <mergeCell ref="G4:G6"/>
    <mergeCell ref="A7:F7"/>
    <mergeCell ref="A1:AB1"/>
    <mergeCell ref="A2:AB2"/>
    <mergeCell ref="I5:I6"/>
    <mergeCell ref="J5:P5"/>
    <mergeCell ref="AA4:AG4"/>
    <mergeCell ref="H4:S4"/>
    <mergeCell ref="H5:H6"/>
    <mergeCell ref="T4:Y4"/>
    <mergeCell ref="E4:E6"/>
    <mergeCell ref="F4:F6"/>
    <mergeCell ref="D4:D6"/>
    <mergeCell ref="C4:C6"/>
    <mergeCell ref="B4:B6"/>
    <mergeCell ref="A4:A6"/>
    <mergeCell ref="Q5:S5"/>
  </mergeCells>
  <pageMargins left="0.48" right="0.2" top="0.4" bottom="0.4" header="0.3" footer="0.3"/>
  <pageSetup paperSize="8" scale="60" orientation="landscape" r:id="rId1"/>
  <colBreaks count="1" manualBreakCount="1">
    <brk id="33"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2"/>
  <sheetViews>
    <sheetView zoomScale="148" zoomScaleNormal="148" workbookViewId="0">
      <selection activeCell="A3" sqref="A1:AB1048576"/>
    </sheetView>
  </sheetViews>
  <sheetFormatPr defaultColWidth="9" defaultRowHeight="15.75" x14ac:dyDescent="0.25"/>
  <cols>
    <col min="1" max="1" width="3.375" style="122" customWidth="1"/>
    <col min="2" max="5" width="3.375" style="20" customWidth="1"/>
    <col min="6" max="6" width="28.75" style="21" customWidth="1"/>
    <col min="7" max="7" width="7.375" style="21" customWidth="1"/>
    <col min="8" max="8" width="4.375" style="21" customWidth="1"/>
    <col min="9" max="9" width="9" style="20" customWidth="1"/>
    <col min="10" max="10" width="8.75" style="20" customWidth="1"/>
    <col min="11" max="11" width="7.875" style="20" customWidth="1"/>
    <col min="12" max="12" width="7.5" style="20" customWidth="1"/>
    <col min="13" max="13" width="6.125" style="20" customWidth="1"/>
    <col min="14" max="14" width="7.5" style="20" customWidth="1"/>
    <col min="15" max="15" width="4.875" style="20" customWidth="1"/>
    <col min="16" max="16" width="6.5" style="20" customWidth="1"/>
    <col min="17" max="17" width="6.875" style="20" customWidth="1"/>
    <col min="18" max="18" width="8.625" style="20" customWidth="1"/>
    <col min="19" max="19" width="9.5" style="20" customWidth="1"/>
    <col min="20" max="20" width="7.75" style="20" customWidth="1"/>
    <col min="21" max="21" width="10.125" style="20" customWidth="1"/>
    <col min="22" max="22" width="4.75" style="20" customWidth="1"/>
    <col min="23" max="23" width="5.125" style="20" customWidth="1"/>
    <col min="24" max="24" width="7.875" style="20" customWidth="1"/>
    <col min="25" max="25" width="9.5" style="20" customWidth="1"/>
    <col min="26" max="26" width="7.75" style="20" customWidth="1"/>
    <col min="27" max="27" width="6.75" style="20" customWidth="1"/>
    <col min="28" max="28" width="7.125" style="20" customWidth="1"/>
    <col min="29" max="29" width="9.625" style="20" customWidth="1"/>
    <col min="30" max="30" width="12.125" style="7" bestFit="1" customWidth="1"/>
    <col min="31" max="16384" width="9" style="7"/>
  </cols>
  <sheetData>
    <row r="1" spans="1:29" s="72" customFormat="1" ht="15" customHeight="1" x14ac:dyDescent="0.25">
      <c r="A1" s="301" t="s">
        <v>132</v>
      </c>
      <c r="B1" s="301"/>
      <c r="C1" s="301"/>
      <c r="D1" s="301"/>
      <c r="E1" s="301"/>
      <c r="F1" s="301"/>
      <c r="G1" s="301"/>
      <c r="H1" s="301"/>
      <c r="I1" s="301"/>
      <c r="J1" s="301"/>
      <c r="K1" s="301"/>
      <c r="L1" s="301"/>
      <c r="M1" s="301"/>
      <c r="N1" s="301"/>
      <c r="O1" s="301"/>
      <c r="P1" s="301"/>
      <c r="Q1" s="301"/>
      <c r="R1" s="301"/>
      <c r="S1" s="301"/>
      <c r="T1" s="301"/>
      <c r="U1" s="301"/>
      <c r="V1" s="301"/>
      <c r="W1" s="301"/>
      <c r="X1" s="301"/>
      <c r="Y1" s="301"/>
      <c r="Z1" s="301"/>
      <c r="AA1" s="301"/>
      <c r="AB1" s="257"/>
    </row>
    <row r="2" spans="1:29" s="72" customFormat="1" ht="17.25" customHeight="1" x14ac:dyDescent="0.25">
      <c r="A2" s="301" t="s">
        <v>318</v>
      </c>
      <c r="B2" s="301"/>
      <c r="C2" s="301"/>
      <c r="D2" s="301"/>
      <c r="E2" s="301"/>
      <c r="F2" s="301"/>
      <c r="G2" s="301"/>
      <c r="H2" s="301"/>
      <c r="I2" s="301"/>
      <c r="J2" s="301"/>
      <c r="K2" s="301"/>
      <c r="L2" s="301"/>
      <c r="M2" s="301"/>
      <c r="N2" s="301"/>
      <c r="O2" s="301"/>
      <c r="P2" s="301"/>
      <c r="Q2" s="301"/>
      <c r="R2" s="301"/>
      <c r="S2" s="301"/>
      <c r="T2" s="301"/>
      <c r="U2" s="301"/>
      <c r="V2" s="301"/>
      <c r="W2" s="301"/>
      <c r="X2" s="301"/>
      <c r="Y2" s="301"/>
      <c r="Z2" s="301"/>
      <c r="AA2" s="301"/>
      <c r="AB2" s="257"/>
    </row>
    <row r="3" spans="1:29" s="66" customFormat="1" ht="14.25" customHeight="1" x14ac:dyDescent="0.15">
      <c r="A3" s="119"/>
      <c r="B3" s="69"/>
      <c r="C3" s="69"/>
      <c r="D3" s="69"/>
      <c r="E3" s="69"/>
      <c r="F3" s="70"/>
      <c r="G3" s="70"/>
      <c r="H3" s="70"/>
      <c r="I3" s="69"/>
      <c r="J3" s="69"/>
      <c r="K3" s="69"/>
      <c r="L3" s="69"/>
      <c r="M3" s="69"/>
      <c r="N3" s="69"/>
      <c r="O3" s="69"/>
      <c r="P3" s="69"/>
      <c r="Q3" s="69"/>
      <c r="R3" s="69"/>
      <c r="S3" s="69"/>
      <c r="T3" s="69"/>
      <c r="U3" s="69"/>
      <c r="V3" s="69"/>
      <c r="W3" s="69"/>
      <c r="X3" s="69"/>
      <c r="Y3" s="69"/>
      <c r="Z3" s="69"/>
      <c r="AA3" s="69"/>
      <c r="AB3" s="69"/>
    </row>
    <row r="4" spans="1:29" s="59" customFormat="1" ht="12.75" customHeight="1" x14ac:dyDescent="0.25">
      <c r="A4" s="319" t="s">
        <v>0</v>
      </c>
      <c r="B4" s="319" t="s">
        <v>19</v>
      </c>
      <c r="C4" s="319" t="s">
        <v>20</v>
      </c>
      <c r="D4" s="319" t="s">
        <v>21</v>
      </c>
      <c r="E4" s="319" t="s">
        <v>134</v>
      </c>
      <c r="F4" s="318" t="s">
        <v>22</v>
      </c>
      <c r="G4" s="323" t="s">
        <v>313</v>
      </c>
      <c r="H4" s="313" t="s">
        <v>29</v>
      </c>
      <c r="I4" s="313"/>
      <c r="J4" s="313"/>
      <c r="K4" s="313"/>
      <c r="L4" s="313"/>
      <c r="M4" s="313"/>
      <c r="N4" s="313"/>
      <c r="O4" s="313"/>
      <c r="P4" s="313"/>
      <c r="Q4" s="313"/>
      <c r="R4" s="313"/>
      <c r="S4" s="319" t="s">
        <v>27</v>
      </c>
      <c r="T4" s="319"/>
      <c r="U4" s="319"/>
      <c r="V4" s="319"/>
      <c r="W4" s="319"/>
      <c r="X4" s="319" t="s">
        <v>28</v>
      </c>
      <c r="Y4" s="319"/>
      <c r="Z4" s="319"/>
      <c r="AA4" s="319"/>
      <c r="AB4" s="319"/>
    </row>
    <row r="5" spans="1:29" s="51" customFormat="1" ht="32.25" customHeight="1" x14ac:dyDescent="0.25">
      <c r="A5" s="319"/>
      <c r="B5" s="319"/>
      <c r="C5" s="319"/>
      <c r="D5" s="319"/>
      <c r="E5" s="319"/>
      <c r="F5" s="318"/>
      <c r="G5" s="324"/>
      <c r="H5" s="318" t="s">
        <v>127</v>
      </c>
      <c r="I5" s="313" t="s">
        <v>30</v>
      </c>
      <c r="J5" s="313" t="s">
        <v>31</v>
      </c>
      <c r="K5" s="313"/>
      <c r="L5" s="313"/>
      <c r="M5" s="313"/>
      <c r="N5" s="313"/>
      <c r="O5" s="313"/>
      <c r="P5" s="313"/>
      <c r="Q5" s="316" t="s">
        <v>32</v>
      </c>
      <c r="R5" s="317"/>
      <c r="S5" s="313" t="s">
        <v>33</v>
      </c>
      <c r="T5" s="318" t="s">
        <v>23</v>
      </c>
      <c r="U5" s="318" t="s">
        <v>24</v>
      </c>
      <c r="V5" s="314" t="s">
        <v>25</v>
      </c>
      <c r="W5" s="315" t="s">
        <v>26</v>
      </c>
      <c r="X5" s="313" t="s">
        <v>34</v>
      </c>
      <c r="Y5" s="318" t="s">
        <v>23</v>
      </c>
      <c r="Z5" s="318" t="s">
        <v>24</v>
      </c>
      <c r="AA5" s="318" t="s">
        <v>25</v>
      </c>
      <c r="AB5" s="313" t="s">
        <v>26</v>
      </c>
      <c r="AC5" s="59"/>
    </row>
    <row r="6" spans="1:29" s="51" customFormat="1" ht="27.75" customHeight="1" x14ac:dyDescent="0.25">
      <c r="A6" s="319"/>
      <c r="B6" s="319"/>
      <c r="C6" s="319"/>
      <c r="D6" s="319"/>
      <c r="E6" s="319"/>
      <c r="F6" s="318"/>
      <c r="G6" s="325"/>
      <c r="H6" s="318"/>
      <c r="I6" s="313"/>
      <c r="J6" s="268" t="s">
        <v>58</v>
      </c>
      <c r="K6" s="268" t="s">
        <v>23</v>
      </c>
      <c r="L6" s="268" t="s">
        <v>24</v>
      </c>
      <c r="M6" s="268" t="s">
        <v>25</v>
      </c>
      <c r="N6" s="268" t="s">
        <v>26</v>
      </c>
      <c r="O6" s="270" t="s">
        <v>71</v>
      </c>
      <c r="P6" s="270" t="s">
        <v>72</v>
      </c>
      <c r="Q6" s="268" t="s">
        <v>23</v>
      </c>
      <c r="R6" s="268" t="s">
        <v>24</v>
      </c>
      <c r="S6" s="313"/>
      <c r="T6" s="318"/>
      <c r="U6" s="318"/>
      <c r="V6" s="314"/>
      <c r="W6" s="315"/>
      <c r="X6" s="313"/>
      <c r="Y6" s="318"/>
      <c r="Z6" s="318"/>
      <c r="AA6" s="318"/>
      <c r="AB6" s="313"/>
      <c r="AC6" s="59"/>
    </row>
    <row r="7" spans="1:29" s="51" customFormat="1" ht="27.75" customHeight="1" x14ac:dyDescent="0.25">
      <c r="A7" s="267"/>
      <c r="B7" s="267"/>
      <c r="C7" s="267"/>
      <c r="D7" s="267"/>
      <c r="E7" s="267"/>
      <c r="F7" s="269" t="s">
        <v>269</v>
      </c>
      <c r="G7" s="268">
        <f t="shared" ref="G7:L7" si="0">G8+G11+G16+G19+G22+G25+G29+G32+G39+G47+G56+G59+G63+G65+G68+G75+G78</f>
        <v>7146436590</v>
      </c>
      <c r="H7" s="268">
        <f t="shared" si="0"/>
        <v>0</v>
      </c>
      <c r="I7" s="268">
        <f t="shared" si="0"/>
        <v>7146436590</v>
      </c>
      <c r="J7" s="268">
        <f t="shared" si="0"/>
        <v>5858709000</v>
      </c>
      <c r="K7" s="268">
        <f t="shared" si="0"/>
        <v>1851349000</v>
      </c>
      <c r="L7" s="268">
        <f t="shared" si="0"/>
        <v>3549900000</v>
      </c>
      <c r="M7" s="268">
        <f t="shared" ref="M7:AB7" si="1">M8+M11+M16+M19+M22+M25+M29+M32+M39+M47+M56+M59+M63+M65+M68+M75+M78</f>
        <v>93560000</v>
      </c>
      <c r="N7" s="268">
        <f t="shared" si="1"/>
        <v>363900000</v>
      </c>
      <c r="O7" s="268">
        <f t="shared" si="1"/>
        <v>0</v>
      </c>
      <c r="P7" s="268">
        <f t="shared" si="1"/>
        <v>0</v>
      </c>
      <c r="Q7" s="268">
        <f t="shared" si="1"/>
        <v>9192690</v>
      </c>
      <c r="R7" s="268">
        <f t="shared" si="1"/>
        <v>1278534900</v>
      </c>
      <c r="S7" s="268">
        <f>S8+S11+S16+S19+S22+S25+S29+S32+S39+S47+S56+S59+S63+S65+S68+S75+S78</f>
        <v>2904492019</v>
      </c>
      <c r="T7" s="268">
        <f t="shared" si="1"/>
        <v>1259574434</v>
      </c>
      <c r="U7" s="268">
        <f t="shared" si="1"/>
        <v>1644917585</v>
      </c>
      <c r="V7" s="268">
        <f t="shared" si="1"/>
        <v>0</v>
      </c>
      <c r="W7" s="268">
        <f t="shared" si="1"/>
        <v>0</v>
      </c>
      <c r="X7" s="268">
        <f>X8+X11+X16+X19+X22+X25+X29+X32+X39+X47+X56+X59+X63+X65+X68+X75+X78</f>
        <v>4241944571</v>
      </c>
      <c r="Y7" s="268">
        <f t="shared" si="1"/>
        <v>600967256</v>
      </c>
      <c r="Z7" s="268">
        <f t="shared" si="1"/>
        <v>3183517315</v>
      </c>
      <c r="AA7" s="268">
        <f t="shared" si="1"/>
        <v>93560000</v>
      </c>
      <c r="AB7" s="268">
        <f t="shared" si="1"/>
        <v>363900000</v>
      </c>
      <c r="AC7" s="59"/>
    </row>
    <row r="8" spans="1:29" s="51" customFormat="1" ht="21" customHeight="1" x14ac:dyDescent="0.25">
      <c r="A8" s="267">
        <v>1</v>
      </c>
      <c r="B8" s="267">
        <v>831</v>
      </c>
      <c r="C8" s="267">
        <v>250</v>
      </c>
      <c r="D8" s="267">
        <v>261</v>
      </c>
      <c r="E8" s="267"/>
      <c r="F8" s="44" t="str">
        <f>'[2]DT CHI 2026'!$B$72</f>
        <v xml:space="preserve">Sự nghiệp bảo vệ môi trường </v>
      </c>
      <c r="G8" s="44">
        <f>H8+I8</f>
        <v>270000000</v>
      </c>
      <c r="H8" s="44"/>
      <c r="I8" s="45">
        <f t="shared" ref="I8:AB8" si="2">SUM(I9:I10)</f>
        <v>270000000</v>
      </c>
      <c r="J8" s="45">
        <f t="shared" si="2"/>
        <v>270000000</v>
      </c>
      <c r="K8" s="45">
        <f t="shared" si="2"/>
        <v>133600000</v>
      </c>
      <c r="L8" s="45">
        <f>SUM(L9:L10)</f>
        <v>97200000</v>
      </c>
      <c r="M8" s="45">
        <f t="shared" si="2"/>
        <v>0</v>
      </c>
      <c r="N8" s="45">
        <f t="shared" si="2"/>
        <v>39200000</v>
      </c>
      <c r="O8" s="45">
        <f t="shared" si="2"/>
        <v>0</v>
      </c>
      <c r="P8" s="45">
        <f t="shared" si="2"/>
        <v>0</v>
      </c>
      <c r="Q8" s="45"/>
      <c r="R8" s="45">
        <f t="shared" si="2"/>
        <v>0</v>
      </c>
      <c r="S8" s="45">
        <f t="shared" si="2"/>
        <v>0</v>
      </c>
      <c r="T8" s="45">
        <f t="shared" si="2"/>
        <v>0</v>
      </c>
      <c r="U8" s="45">
        <f t="shared" si="2"/>
        <v>0</v>
      </c>
      <c r="V8" s="45">
        <f t="shared" si="2"/>
        <v>0</v>
      </c>
      <c r="W8" s="45">
        <f t="shared" si="2"/>
        <v>0</v>
      </c>
      <c r="X8" s="45">
        <f>SUM(X9:X10)</f>
        <v>270000000</v>
      </c>
      <c r="Y8" s="45">
        <f>SUM(Y9:Y10)</f>
        <v>133600000</v>
      </c>
      <c r="Z8" s="45">
        <f t="shared" si="2"/>
        <v>97200000</v>
      </c>
      <c r="AA8" s="45">
        <f t="shared" si="2"/>
        <v>0</v>
      </c>
      <c r="AB8" s="45">
        <f t="shared" si="2"/>
        <v>39200000</v>
      </c>
      <c r="AC8" s="59"/>
    </row>
    <row r="9" spans="1:29" s="19" customFormat="1" ht="19.5" customHeight="1" x14ac:dyDescent="0.25">
      <c r="A9" s="55"/>
      <c r="B9" s="55"/>
      <c r="C9" s="55"/>
      <c r="D9" s="55">
        <v>261</v>
      </c>
      <c r="E9" s="55"/>
      <c r="F9" s="46" t="str">
        <f>'[2]DT CHI 2026'!$B$73</f>
        <v xml:space="preserve"> - Hoạt động thường xuyên về môi trường</v>
      </c>
      <c r="G9" s="46">
        <f t="shared" ref="G9:G68" si="3">H9+I9</f>
        <v>150000000</v>
      </c>
      <c r="H9" s="46"/>
      <c r="I9" s="47">
        <f>J9+R9</f>
        <v>150000000</v>
      </c>
      <c r="J9" s="47">
        <v>150000000</v>
      </c>
      <c r="K9" s="143">
        <f>J9-N9</f>
        <v>133600000</v>
      </c>
      <c r="L9" s="143"/>
      <c r="M9" s="143"/>
      <c r="N9" s="143">
        <f>15000000+1400000</f>
        <v>16400000</v>
      </c>
      <c r="O9" s="56"/>
      <c r="P9" s="56"/>
      <c r="Q9" s="56"/>
      <c r="R9" s="56"/>
      <c r="S9" s="56">
        <v>0</v>
      </c>
      <c r="T9" s="144"/>
      <c r="U9" s="56"/>
      <c r="V9" s="56"/>
      <c r="W9" s="56"/>
      <c r="X9" s="56">
        <f>I9-S9</f>
        <v>150000000</v>
      </c>
      <c r="Y9" s="258">
        <f>K9</f>
        <v>133600000</v>
      </c>
      <c r="Z9" s="55"/>
      <c r="AA9" s="55"/>
      <c r="AB9" s="56">
        <f>N9</f>
        <v>16400000</v>
      </c>
      <c r="AC9" s="60"/>
    </row>
    <row r="10" spans="1:29" s="19" customFormat="1" ht="22.5" customHeight="1" x14ac:dyDescent="0.25">
      <c r="A10" s="55"/>
      <c r="B10" s="55"/>
      <c r="C10" s="55"/>
      <c r="D10" s="55">
        <v>261</v>
      </c>
      <c r="E10" s="55"/>
      <c r="F10" s="46" t="str">
        <f>'[2]DT CHI 2026'!$B$74</f>
        <v xml:space="preserve"> - KP hỗ trợ xây dựng cơ chế hoạt  động về phân loại
 rác thải sinh hoạt tại nguồn trong xây dựng nông thôn mới; </v>
      </c>
      <c r="G10" s="46">
        <f t="shared" si="3"/>
        <v>120000000</v>
      </c>
      <c r="H10" s="46"/>
      <c r="I10" s="47">
        <f>J10+R10</f>
        <v>120000000</v>
      </c>
      <c r="J10" s="47">
        <f>SUM(K10:P10)</f>
        <v>120000000</v>
      </c>
      <c r="K10" s="143"/>
      <c r="L10" s="143">
        <f>'[2]DT CHI 2026'!$K$74*1000-N10</f>
        <v>97200000</v>
      </c>
      <c r="M10" s="143"/>
      <c r="N10" s="143">
        <f>12000000+10800000</f>
        <v>22800000</v>
      </c>
      <c r="O10" s="56"/>
      <c r="P10" s="56"/>
      <c r="Q10" s="56"/>
      <c r="R10" s="56"/>
      <c r="S10" s="56">
        <v>0</v>
      </c>
      <c r="T10" s="144"/>
      <c r="U10" s="56"/>
      <c r="V10" s="56"/>
      <c r="W10" s="56"/>
      <c r="X10" s="56">
        <f>I10-S10</f>
        <v>120000000</v>
      </c>
      <c r="Y10" s="55"/>
      <c r="Z10" s="258">
        <f>L10</f>
        <v>97200000</v>
      </c>
      <c r="AA10" s="55"/>
      <c r="AB10" s="56">
        <f>N10</f>
        <v>22800000</v>
      </c>
      <c r="AC10" s="60"/>
    </row>
    <row r="11" spans="1:29" s="24" customFormat="1" ht="19.5" customHeight="1" x14ac:dyDescent="0.25">
      <c r="A11" s="267">
        <v>2</v>
      </c>
      <c r="B11" s="267">
        <v>831</v>
      </c>
      <c r="C11" s="267">
        <v>280</v>
      </c>
      <c r="D11" s="267">
        <v>281</v>
      </c>
      <c r="E11" s="267"/>
      <c r="F11" s="44" t="s">
        <v>73</v>
      </c>
      <c r="G11" s="44">
        <f t="shared" si="3"/>
        <v>196000000</v>
      </c>
      <c r="H11" s="44"/>
      <c r="I11" s="45">
        <f t="shared" ref="I11:O11" si="4">SUM(I12:I14)</f>
        <v>196000000</v>
      </c>
      <c r="J11" s="45">
        <f t="shared" si="4"/>
        <v>196000000</v>
      </c>
      <c r="K11" s="45">
        <f t="shared" si="4"/>
        <v>0</v>
      </c>
      <c r="L11" s="45">
        <f>SUM(L12:L14)</f>
        <v>186000000</v>
      </c>
      <c r="M11" s="45">
        <f t="shared" si="4"/>
        <v>0</v>
      </c>
      <c r="N11" s="45">
        <f t="shared" si="4"/>
        <v>10000000</v>
      </c>
      <c r="O11" s="45">
        <f t="shared" si="4"/>
        <v>0</v>
      </c>
      <c r="P11" s="45"/>
      <c r="Q11" s="45"/>
      <c r="R11" s="45"/>
      <c r="S11" s="45">
        <f>S12+S14</f>
        <v>132350000</v>
      </c>
      <c r="T11" s="45">
        <f>T12+T14</f>
        <v>0</v>
      </c>
      <c r="U11" s="45">
        <f>U12+U14</f>
        <v>132350000</v>
      </c>
      <c r="V11" s="45">
        <f t="shared" ref="V11:AB11" si="5">SUM(V12:V14)</f>
        <v>0</v>
      </c>
      <c r="W11" s="45">
        <f t="shared" si="5"/>
        <v>0</v>
      </c>
      <c r="X11" s="45">
        <f t="shared" si="5"/>
        <v>63650000</v>
      </c>
      <c r="Y11" s="45">
        <f t="shared" si="5"/>
        <v>0</v>
      </c>
      <c r="Z11" s="45">
        <f>SUM(Z12:Z14)</f>
        <v>53650000</v>
      </c>
      <c r="AA11" s="45">
        <f t="shared" si="5"/>
        <v>0</v>
      </c>
      <c r="AB11" s="45">
        <f t="shared" si="5"/>
        <v>10000000</v>
      </c>
      <c r="AC11" s="59"/>
    </row>
    <row r="12" spans="1:29" s="19" customFormat="1" ht="18" customHeight="1" x14ac:dyDescent="0.25">
      <c r="A12" s="55"/>
      <c r="B12" s="55"/>
      <c r="C12" s="55"/>
      <c r="D12" s="145">
        <v>281</v>
      </c>
      <c r="E12" s="145"/>
      <c r="F12" s="46" t="str">
        <f>'[2]DT CHI 2026'!$B$93</f>
        <v>- Hỗ trợ kinh phí trồng cây nhân dân (tết trồng cây)</v>
      </c>
      <c r="G12" s="46">
        <f t="shared" si="3"/>
        <v>100000000</v>
      </c>
      <c r="H12" s="46"/>
      <c r="I12" s="47">
        <f>J12+R12</f>
        <v>100000000</v>
      </c>
      <c r="J12" s="47">
        <f>SUM(K12:P12)</f>
        <v>100000000</v>
      </c>
      <c r="K12" s="143"/>
      <c r="L12" s="143">
        <v>90000000</v>
      </c>
      <c r="M12" s="143"/>
      <c r="N12" s="143">
        <v>10000000</v>
      </c>
      <c r="O12" s="143"/>
      <c r="P12" s="143"/>
      <c r="Q12" s="143"/>
      <c r="R12" s="56"/>
      <c r="S12" s="56">
        <f>'[5]phòng kinh tế'!$G$12</f>
        <v>89550000</v>
      </c>
      <c r="T12" s="144"/>
      <c r="U12" s="56">
        <f>S12</f>
        <v>89550000</v>
      </c>
      <c r="V12" s="56"/>
      <c r="W12" s="56"/>
      <c r="X12" s="56">
        <f>I12-S12</f>
        <v>10450000</v>
      </c>
      <c r="Y12" s="55"/>
      <c r="Z12" s="146">
        <f>X12-AB12</f>
        <v>450000</v>
      </c>
      <c r="AA12" s="55"/>
      <c r="AB12" s="56">
        <f>N12</f>
        <v>10000000</v>
      </c>
      <c r="AC12" s="60"/>
    </row>
    <row r="13" spans="1:29" s="19" customFormat="1" ht="26.25" customHeight="1" x14ac:dyDescent="0.25">
      <c r="A13" s="55"/>
      <c r="B13" s="55"/>
      <c r="C13" s="55"/>
      <c r="D13" s="145">
        <v>281</v>
      </c>
      <c r="E13" s="145">
        <v>7799</v>
      </c>
      <c r="F13" s="46" t="s">
        <v>141</v>
      </c>
      <c r="G13" s="44"/>
      <c r="H13" s="46"/>
      <c r="I13" s="47"/>
      <c r="J13" s="47"/>
      <c r="K13" s="143"/>
      <c r="L13" s="143"/>
      <c r="M13" s="143"/>
      <c r="N13" s="143"/>
      <c r="O13" s="143"/>
      <c r="P13" s="143"/>
      <c r="Q13" s="143"/>
      <c r="R13" s="56"/>
      <c r="S13" s="56">
        <f>U13</f>
        <v>89550000</v>
      </c>
      <c r="T13" s="56"/>
      <c r="U13" s="56">
        <f>U12</f>
        <v>89550000</v>
      </c>
      <c r="V13" s="56"/>
      <c r="W13" s="56"/>
      <c r="X13" s="56"/>
      <c r="Y13" s="55"/>
      <c r="Z13" s="146"/>
      <c r="AA13" s="55"/>
      <c r="AB13" s="56"/>
      <c r="AC13" s="60"/>
    </row>
    <row r="14" spans="1:29" s="19" customFormat="1" ht="24" customHeight="1" x14ac:dyDescent="0.25">
      <c r="A14" s="55"/>
      <c r="B14" s="55"/>
      <c r="C14" s="55"/>
      <c r="D14" s="145">
        <v>281</v>
      </c>
      <c r="E14" s="145"/>
      <c r="F14" s="46" t="str">
        <f>'[2]DT CHI 2026'!$B$96</f>
        <v xml:space="preserve"> - KP thực hiện Nghị quyết số 776/2025/NQ-HĐND ngày 12/11/2025 của HĐND tỉnh </v>
      </c>
      <c r="G14" s="46">
        <f t="shared" si="3"/>
        <v>96000000</v>
      </c>
      <c r="H14" s="46"/>
      <c r="I14" s="47">
        <f>J14+R14</f>
        <v>96000000</v>
      </c>
      <c r="J14" s="47">
        <f>SUM(K14:P14)</f>
        <v>96000000</v>
      </c>
      <c r="K14" s="143"/>
      <c r="L14" s="143">
        <v>96000000</v>
      </c>
      <c r="M14" s="143"/>
      <c r="N14" s="143"/>
      <c r="O14" s="143"/>
      <c r="P14" s="143"/>
      <c r="Q14" s="143"/>
      <c r="R14" s="56"/>
      <c r="S14" s="56">
        <v>42800000</v>
      </c>
      <c r="T14" s="144"/>
      <c r="U14" s="56">
        <v>42800000</v>
      </c>
      <c r="V14" s="56"/>
      <c r="W14" s="56"/>
      <c r="X14" s="56">
        <f>I14-S14</f>
        <v>53200000</v>
      </c>
      <c r="Y14" s="55"/>
      <c r="Z14" s="146">
        <f>X14</f>
        <v>53200000</v>
      </c>
      <c r="AA14" s="55"/>
      <c r="AB14" s="56"/>
      <c r="AC14" s="60"/>
    </row>
    <row r="15" spans="1:29" s="19" customFormat="1" ht="24.75" customHeight="1" x14ac:dyDescent="0.25">
      <c r="A15" s="55"/>
      <c r="B15" s="55"/>
      <c r="C15" s="55"/>
      <c r="D15" s="145">
        <v>281</v>
      </c>
      <c r="E15" s="145">
        <v>6799</v>
      </c>
      <c r="F15" s="46" t="s">
        <v>142</v>
      </c>
      <c r="G15" s="44"/>
      <c r="H15" s="46"/>
      <c r="I15" s="47"/>
      <c r="J15" s="47"/>
      <c r="K15" s="143"/>
      <c r="L15" s="143"/>
      <c r="M15" s="143"/>
      <c r="N15" s="143"/>
      <c r="O15" s="143"/>
      <c r="P15" s="143"/>
      <c r="Q15" s="143"/>
      <c r="R15" s="56"/>
      <c r="S15" s="56">
        <f>S14</f>
        <v>42800000</v>
      </c>
      <c r="T15" s="144"/>
      <c r="U15" s="56">
        <f>U14</f>
        <v>42800000</v>
      </c>
      <c r="V15" s="56"/>
      <c r="W15" s="56"/>
      <c r="X15" s="56"/>
      <c r="Y15" s="55"/>
      <c r="Z15" s="146"/>
      <c r="AA15" s="55"/>
      <c r="AB15" s="56"/>
      <c r="AC15" s="60"/>
    </row>
    <row r="16" spans="1:29" s="24" customFormat="1" ht="23.25" customHeight="1" x14ac:dyDescent="0.25">
      <c r="A16" s="267">
        <v>3</v>
      </c>
      <c r="B16" s="267">
        <v>831</v>
      </c>
      <c r="C16" s="267">
        <v>280</v>
      </c>
      <c r="D16" s="267">
        <v>283</v>
      </c>
      <c r="E16" s="267"/>
      <c r="F16" s="44" t="s">
        <v>74</v>
      </c>
      <c r="G16" s="44">
        <f t="shared" si="3"/>
        <v>170000000</v>
      </c>
      <c r="H16" s="44"/>
      <c r="I16" s="45">
        <f>J16+R16</f>
        <v>170000000</v>
      </c>
      <c r="J16" s="45">
        <f>SUM(K16:P16)</f>
        <v>170000000</v>
      </c>
      <c r="K16" s="147">
        <f t="shared" ref="K16:AB16" si="6">K17+K18</f>
        <v>0</v>
      </c>
      <c r="L16" s="147">
        <f>L17+L18</f>
        <v>137700000</v>
      </c>
      <c r="M16" s="147">
        <f t="shared" si="6"/>
        <v>0</v>
      </c>
      <c r="N16" s="147">
        <f t="shared" si="6"/>
        <v>32300000</v>
      </c>
      <c r="O16" s="147">
        <f t="shared" si="6"/>
        <v>0</v>
      </c>
      <c r="P16" s="147">
        <f t="shared" si="6"/>
        <v>0</v>
      </c>
      <c r="Q16" s="147"/>
      <c r="R16" s="147">
        <f t="shared" si="6"/>
        <v>0</v>
      </c>
      <c r="S16" s="147">
        <f t="shared" si="6"/>
        <v>0</v>
      </c>
      <c r="T16" s="147">
        <f t="shared" si="6"/>
        <v>0</v>
      </c>
      <c r="U16" s="147">
        <f t="shared" si="6"/>
        <v>0</v>
      </c>
      <c r="V16" s="147">
        <f t="shared" si="6"/>
        <v>0</v>
      </c>
      <c r="W16" s="147">
        <f t="shared" si="6"/>
        <v>0</v>
      </c>
      <c r="X16" s="147">
        <f t="shared" si="6"/>
        <v>170000000</v>
      </c>
      <c r="Y16" s="147">
        <f t="shared" si="6"/>
        <v>0</v>
      </c>
      <c r="Z16" s="147">
        <f t="shared" si="6"/>
        <v>137700000</v>
      </c>
      <c r="AA16" s="147">
        <f t="shared" si="6"/>
        <v>0</v>
      </c>
      <c r="AB16" s="147">
        <f t="shared" si="6"/>
        <v>32300000</v>
      </c>
      <c r="AC16" s="59"/>
    </row>
    <row r="17" spans="1:29" s="19" customFormat="1" ht="20.25" customHeight="1" x14ac:dyDescent="0.25">
      <c r="A17" s="55"/>
      <c r="B17" s="55"/>
      <c r="C17" s="55"/>
      <c r="D17" s="55">
        <v>283</v>
      </c>
      <c r="E17" s="55"/>
      <c r="F17" s="46" t="str">
        <f>'[2]DT CHI 2026'!$B$94</f>
        <v>- Phòng chống thiên tai, dịch bệnh</v>
      </c>
      <c r="G17" s="46">
        <f t="shared" si="3"/>
        <v>50000000</v>
      </c>
      <c r="H17" s="46"/>
      <c r="I17" s="47">
        <f>J17+R17</f>
        <v>50000000</v>
      </c>
      <c r="J17" s="47">
        <v>50000000</v>
      </c>
      <c r="K17" s="143"/>
      <c r="L17" s="143">
        <f>J17-N17</f>
        <v>40500000</v>
      </c>
      <c r="M17" s="143"/>
      <c r="N17" s="143">
        <f>5000000+4500000</f>
        <v>9500000</v>
      </c>
      <c r="O17" s="47"/>
      <c r="P17" s="47"/>
      <c r="Q17" s="47"/>
      <c r="R17" s="56"/>
      <c r="S17" s="56">
        <v>0</v>
      </c>
      <c r="T17" s="148"/>
      <c r="U17" s="56">
        <v>0</v>
      </c>
      <c r="V17" s="56"/>
      <c r="W17" s="56"/>
      <c r="X17" s="56">
        <f>I17-S17</f>
        <v>50000000</v>
      </c>
      <c r="Y17" s="55"/>
      <c r="Z17" s="258">
        <f>L17</f>
        <v>40500000</v>
      </c>
      <c r="AA17" s="55"/>
      <c r="AB17" s="56">
        <f>N17</f>
        <v>9500000</v>
      </c>
      <c r="AC17" s="60"/>
    </row>
    <row r="18" spans="1:29" s="19" customFormat="1" ht="20.25" customHeight="1" x14ac:dyDescent="0.25">
      <c r="A18" s="55"/>
      <c r="B18" s="55"/>
      <c r="C18" s="55"/>
      <c r="D18" s="55">
        <v>283</v>
      </c>
      <c r="E18" s="55"/>
      <c r="F18" s="46" t="str">
        <f>'[2]DT CHI 2026'!$B$95</f>
        <v>- Thủy lợi nội đồng</v>
      </c>
      <c r="G18" s="46">
        <f t="shared" si="3"/>
        <v>120000000</v>
      </c>
      <c r="H18" s="46"/>
      <c r="I18" s="47">
        <f>J18+R18</f>
        <v>120000000</v>
      </c>
      <c r="J18" s="47">
        <f>SUM(K18:P18)</f>
        <v>120000000</v>
      </c>
      <c r="K18" s="143"/>
      <c r="L18" s="143">
        <f>'[2]DT CHI 2026'!$K$95*1000-N18</f>
        <v>97200000</v>
      </c>
      <c r="M18" s="143"/>
      <c r="N18" s="143">
        <f>12000000+10800000</f>
        <v>22800000</v>
      </c>
      <c r="O18" s="47"/>
      <c r="P18" s="47"/>
      <c r="Q18" s="47"/>
      <c r="R18" s="56"/>
      <c r="S18" s="56">
        <v>0</v>
      </c>
      <c r="T18" s="148"/>
      <c r="U18" s="56">
        <v>0</v>
      </c>
      <c r="V18" s="56"/>
      <c r="W18" s="56"/>
      <c r="X18" s="56">
        <f>I18-S18</f>
        <v>120000000</v>
      </c>
      <c r="Y18" s="55"/>
      <c r="Z18" s="258">
        <f>L18</f>
        <v>97200000</v>
      </c>
      <c r="AA18" s="55"/>
      <c r="AB18" s="56">
        <f>N18</f>
        <v>22800000</v>
      </c>
      <c r="AC18" s="60"/>
    </row>
    <row r="19" spans="1:29" s="24" customFormat="1" ht="16.5" customHeight="1" x14ac:dyDescent="0.25">
      <c r="A19" s="267">
        <v>4</v>
      </c>
      <c r="B19" s="267">
        <v>831</v>
      </c>
      <c r="C19" s="267">
        <v>280</v>
      </c>
      <c r="D19" s="267">
        <v>292</v>
      </c>
      <c r="E19" s="267"/>
      <c r="F19" s="44" t="str">
        <f>'[2]DT CHI 2026'!$B$86</f>
        <v>Sự nghiệp giao thông</v>
      </c>
      <c r="G19" s="44">
        <f t="shared" si="3"/>
        <v>200000000</v>
      </c>
      <c r="H19" s="44"/>
      <c r="I19" s="45">
        <f t="shared" ref="I19:AB19" si="7">SUM(I20:I21)</f>
        <v>200000000</v>
      </c>
      <c r="J19" s="45">
        <f t="shared" si="7"/>
        <v>200000000</v>
      </c>
      <c r="K19" s="45">
        <f t="shared" si="7"/>
        <v>180000000</v>
      </c>
      <c r="L19" s="45">
        <f t="shared" si="7"/>
        <v>0</v>
      </c>
      <c r="M19" s="45">
        <f t="shared" si="7"/>
        <v>0</v>
      </c>
      <c r="N19" s="45">
        <f t="shared" si="7"/>
        <v>20000000</v>
      </c>
      <c r="O19" s="45">
        <f t="shared" si="7"/>
        <v>0</v>
      </c>
      <c r="P19" s="45">
        <f t="shared" si="7"/>
        <v>0</v>
      </c>
      <c r="Q19" s="45"/>
      <c r="R19" s="45">
        <f t="shared" si="7"/>
        <v>0</v>
      </c>
      <c r="S19" s="45">
        <f t="shared" si="7"/>
        <v>0</v>
      </c>
      <c r="T19" s="45">
        <f t="shared" si="7"/>
        <v>0</v>
      </c>
      <c r="U19" s="45">
        <f t="shared" si="7"/>
        <v>0</v>
      </c>
      <c r="V19" s="45">
        <f t="shared" si="7"/>
        <v>0</v>
      </c>
      <c r="W19" s="45">
        <f t="shared" si="7"/>
        <v>0</v>
      </c>
      <c r="X19" s="45">
        <f t="shared" si="7"/>
        <v>200000000</v>
      </c>
      <c r="Y19" s="45">
        <f>SUM(Y20:Y21)</f>
        <v>180000000</v>
      </c>
      <c r="Z19" s="45">
        <f t="shared" si="7"/>
        <v>0</v>
      </c>
      <c r="AA19" s="45">
        <f t="shared" si="7"/>
        <v>0</v>
      </c>
      <c r="AB19" s="45">
        <f t="shared" si="7"/>
        <v>20000000</v>
      </c>
      <c r="AC19" s="59"/>
    </row>
    <row r="20" spans="1:29" s="19" customFormat="1" ht="16.5" customHeight="1" x14ac:dyDescent="0.25">
      <c r="A20" s="55"/>
      <c r="B20" s="55"/>
      <c r="C20" s="55"/>
      <c r="D20" s="55">
        <v>292</v>
      </c>
      <c r="E20" s="55"/>
      <c r="F20" s="46" t="str">
        <f>'[2]DT CHI 2026'!$B$88</f>
        <v xml:space="preserve"> KP đảm bảo an toàn giao thông</v>
      </c>
      <c r="G20" s="46">
        <f t="shared" si="3"/>
        <v>100000000</v>
      </c>
      <c r="H20" s="46"/>
      <c r="I20" s="47">
        <f>J20+R20</f>
        <v>100000000</v>
      </c>
      <c r="J20" s="47">
        <f>SUM(K20:P20)</f>
        <v>100000000</v>
      </c>
      <c r="K20" s="143">
        <f>'[2]DT CHI 2026'!$K$88*1000-N20</f>
        <v>90000000</v>
      </c>
      <c r="L20" s="143"/>
      <c r="M20" s="143"/>
      <c r="N20" s="143">
        <v>10000000</v>
      </c>
      <c r="O20" s="143"/>
      <c r="P20" s="143"/>
      <c r="Q20" s="143"/>
      <c r="R20" s="56"/>
      <c r="S20" s="56">
        <v>0</v>
      </c>
      <c r="T20" s="148"/>
      <c r="U20" s="56"/>
      <c r="V20" s="56"/>
      <c r="W20" s="56"/>
      <c r="X20" s="56">
        <f>I20-S20</f>
        <v>100000000</v>
      </c>
      <c r="Y20" s="258">
        <f>K20</f>
        <v>90000000</v>
      </c>
      <c r="Z20" s="146"/>
      <c r="AA20" s="55"/>
      <c r="AB20" s="56">
        <f>N20</f>
        <v>10000000</v>
      </c>
      <c r="AC20" s="60"/>
    </row>
    <row r="21" spans="1:29" s="19" customFormat="1" ht="16.5" customHeight="1" x14ac:dyDescent="0.25">
      <c r="A21" s="55"/>
      <c r="B21" s="55"/>
      <c r="C21" s="55"/>
      <c r="D21" s="55">
        <v>292</v>
      </c>
      <c r="E21" s="55"/>
      <c r="F21" s="46" t="str">
        <f>'[2]DT CHI 2026'!$B$89</f>
        <v>Chi khác</v>
      </c>
      <c r="G21" s="46">
        <f t="shared" si="3"/>
        <v>100000000</v>
      </c>
      <c r="H21" s="46"/>
      <c r="I21" s="47">
        <f>J21+R21</f>
        <v>100000000</v>
      </c>
      <c r="J21" s="47">
        <f>SUM(K21:P21)</f>
        <v>100000000</v>
      </c>
      <c r="K21" s="143">
        <f>'[2]DT CHI 2026'!$K$89*1000-N21</f>
        <v>90000000</v>
      </c>
      <c r="L21" s="143"/>
      <c r="M21" s="143"/>
      <c r="N21" s="143">
        <v>10000000</v>
      </c>
      <c r="O21" s="47"/>
      <c r="P21" s="47"/>
      <c r="Q21" s="47"/>
      <c r="R21" s="56"/>
      <c r="S21" s="56">
        <v>0</v>
      </c>
      <c r="T21" s="56"/>
      <c r="U21" s="56"/>
      <c r="V21" s="56"/>
      <c r="W21" s="56"/>
      <c r="X21" s="56">
        <f>I21-S21</f>
        <v>100000000</v>
      </c>
      <c r="Y21" s="258">
        <f>K21</f>
        <v>90000000</v>
      </c>
      <c r="Z21" s="146"/>
      <c r="AA21" s="55"/>
      <c r="AB21" s="56">
        <f>N21</f>
        <v>10000000</v>
      </c>
      <c r="AC21" s="60"/>
    </row>
    <row r="22" spans="1:29" s="24" customFormat="1" ht="48" customHeight="1" x14ac:dyDescent="0.25">
      <c r="A22" s="267">
        <v>5</v>
      </c>
      <c r="B22" s="267">
        <v>831</v>
      </c>
      <c r="C22" s="267">
        <v>280</v>
      </c>
      <c r="D22" s="267">
        <v>312</v>
      </c>
      <c r="E22" s="267"/>
      <c r="F22" s="44" t="str">
        <f>'[2]DT CHI 2026'!$B$99</f>
        <v xml:space="preserve"> Sự nghiệp thị chính (cấp thoát nước, cây xanh, đô thị, duy trì, baỏ dưỡng hệ thống chiếu sáng khu vực trung tâm phường  và các tổ dân phố và các nhiệm vụ khác)</v>
      </c>
      <c r="G22" s="44">
        <f t="shared" si="3"/>
        <v>1200000000</v>
      </c>
      <c r="H22" s="44"/>
      <c r="I22" s="45">
        <f>J22+R22</f>
        <v>1200000000</v>
      </c>
      <c r="J22" s="45">
        <f>SUM(K22:P22)</f>
        <v>1200000000</v>
      </c>
      <c r="K22" s="147">
        <f>SUM(K25:K25)</f>
        <v>0</v>
      </c>
      <c r="L22" s="147">
        <v>1080000000</v>
      </c>
      <c r="M22" s="147"/>
      <c r="N22" s="147">
        <v>120000000</v>
      </c>
      <c r="O22" s="147"/>
      <c r="P22" s="147"/>
      <c r="Q22" s="147"/>
      <c r="R22" s="147"/>
      <c r="S22" s="43">
        <f>SUM(S23:S24)</f>
        <v>269883306</v>
      </c>
      <c r="T22" s="149"/>
      <c r="U22" s="43">
        <f>S22</f>
        <v>269883306</v>
      </c>
      <c r="V22" s="43"/>
      <c r="W22" s="43"/>
      <c r="X22" s="43">
        <f>I22-S22</f>
        <v>930116694</v>
      </c>
      <c r="Y22" s="267"/>
      <c r="Z22" s="150">
        <f>X22-AB22</f>
        <v>810116694</v>
      </c>
      <c r="AA22" s="267"/>
      <c r="AB22" s="43">
        <f>N22</f>
        <v>120000000</v>
      </c>
      <c r="AC22" s="151">
        <f>Z22+20105000</f>
        <v>830221694</v>
      </c>
    </row>
    <row r="23" spans="1:29" s="19" customFormat="1" ht="18.75" customHeight="1" x14ac:dyDescent="0.25">
      <c r="A23" s="55"/>
      <c r="B23" s="55"/>
      <c r="C23" s="55"/>
      <c r="D23" s="55">
        <v>312</v>
      </c>
      <c r="E23" s="55">
        <v>6501</v>
      </c>
      <c r="F23" s="46" t="s">
        <v>143</v>
      </c>
      <c r="G23" s="44"/>
      <c r="H23" s="46"/>
      <c r="I23" s="47"/>
      <c r="J23" s="47"/>
      <c r="K23" s="143"/>
      <c r="L23" s="143"/>
      <c r="M23" s="143"/>
      <c r="N23" s="143"/>
      <c r="O23" s="143"/>
      <c r="P23" s="143"/>
      <c r="Q23" s="143"/>
      <c r="R23" s="143"/>
      <c r="S23" s="56">
        <f>170106695+47333931+24560082-1149150-348592+26480940</f>
        <v>266983906</v>
      </c>
      <c r="T23" s="148"/>
      <c r="U23" s="56">
        <f>S23</f>
        <v>266983906</v>
      </c>
      <c r="V23" s="56"/>
      <c r="W23" s="56"/>
      <c r="X23" s="56"/>
      <c r="Y23" s="55"/>
      <c r="Z23" s="146"/>
      <c r="AA23" s="55"/>
      <c r="AB23" s="56"/>
      <c r="AC23" s="152"/>
    </row>
    <row r="24" spans="1:29" s="19" customFormat="1" ht="18" customHeight="1" x14ac:dyDescent="0.25">
      <c r="A24" s="55"/>
      <c r="B24" s="55"/>
      <c r="C24" s="55"/>
      <c r="D24" s="55">
        <v>312</v>
      </c>
      <c r="E24" s="55">
        <v>7799</v>
      </c>
      <c r="F24" s="46" t="s">
        <v>276</v>
      </c>
      <c r="G24" s="44"/>
      <c r="H24" s="46"/>
      <c r="I24" s="47"/>
      <c r="J24" s="47"/>
      <c r="K24" s="143"/>
      <c r="L24" s="143"/>
      <c r="M24" s="143"/>
      <c r="N24" s="143"/>
      <c r="O24" s="143"/>
      <c r="P24" s="143"/>
      <c r="Q24" s="143"/>
      <c r="R24" s="143"/>
      <c r="S24" s="56">
        <v>2899400</v>
      </c>
      <c r="T24" s="148"/>
      <c r="U24" s="56">
        <f>S24</f>
        <v>2899400</v>
      </c>
      <c r="V24" s="56"/>
      <c r="W24" s="56"/>
      <c r="X24" s="56"/>
      <c r="Y24" s="55"/>
      <c r="Z24" s="146"/>
      <c r="AA24" s="55"/>
      <c r="AB24" s="56"/>
      <c r="AC24" s="152"/>
    </row>
    <row r="25" spans="1:29" s="24" customFormat="1" ht="42" customHeight="1" x14ac:dyDescent="0.25">
      <c r="A25" s="267">
        <v>6</v>
      </c>
      <c r="B25" s="267">
        <v>831</v>
      </c>
      <c r="C25" s="267">
        <v>280</v>
      </c>
      <c r="D25" s="267">
        <v>338</v>
      </c>
      <c r="E25" s="267"/>
      <c r="F25" s="44" t="str">
        <f>'[2]DT CHI 2026'!$B$97</f>
        <v>Duy tu bảo dưỡng công trình phục vụ công cộng, sự nghiệp kiến thiết thị chính, tài nguyên địa chính (gồm cả khảo sát giá đất), sự nghiệp kinh tế khác</v>
      </c>
      <c r="G25" s="44">
        <f t="shared" si="3"/>
        <v>1665000000</v>
      </c>
      <c r="H25" s="44"/>
      <c r="I25" s="45">
        <f>SUM(I26:I28)</f>
        <v>1665000000</v>
      </c>
      <c r="J25" s="45">
        <f t="shared" ref="J25:AB25" si="8">SUM(J26:J28)</f>
        <v>1665000000</v>
      </c>
      <c r="K25" s="45">
        <f t="shared" si="8"/>
        <v>0</v>
      </c>
      <c r="L25" s="45">
        <f>SUM(L26:L28)</f>
        <v>1585000000</v>
      </c>
      <c r="M25" s="45">
        <f t="shared" si="8"/>
        <v>0</v>
      </c>
      <c r="N25" s="45">
        <f t="shared" si="8"/>
        <v>80000000</v>
      </c>
      <c r="O25" s="45">
        <f t="shared" si="8"/>
        <v>0</v>
      </c>
      <c r="P25" s="45">
        <f t="shared" si="8"/>
        <v>0</v>
      </c>
      <c r="Q25" s="45"/>
      <c r="R25" s="45">
        <f t="shared" si="8"/>
        <v>0</v>
      </c>
      <c r="S25" s="45"/>
      <c r="T25" s="45">
        <f t="shared" si="8"/>
        <v>0</v>
      </c>
      <c r="U25" s="45"/>
      <c r="V25" s="45">
        <f t="shared" si="8"/>
        <v>0</v>
      </c>
      <c r="W25" s="45">
        <f t="shared" si="8"/>
        <v>0</v>
      </c>
      <c r="X25" s="45">
        <f>Z25+AB25</f>
        <v>1665000000</v>
      </c>
      <c r="Y25" s="45">
        <f t="shared" si="8"/>
        <v>0</v>
      </c>
      <c r="Z25" s="45">
        <f>SUM(Z26:Z28)</f>
        <v>1585000000</v>
      </c>
      <c r="AA25" s="45">
        <f t="shared" si="8"/>
        <v>0</v>
      </c>
      <c r="AB25" s="45">
        <f t="shared" si="8"/>
        <v>80000000</v>
      </c>
      <c r="AC25" s="59"/>
    </row>
    <row r="26" spans="1:29" s="19" customFormat="1" ht="22.5" customHeight="1" x14ac:dyDescent="0.25">
      <c r="A26" s="55"/>
      <c r="B26" s="55"/>
      <c r="C26" s="55"/>
      <c r="D26" s="55">
        <v>338</v>
      </c>
      <c r="E26" s="55"/>
      <c r="F26" s="46" t="str">
        <f>'[2]DT CHI 2026'!$B$100</f>
        <v>Chi khảo sát giá đất, tư vấn thẩm định giá đất và
 Hội đồng thẩm định giá đất cụ thể</v>
      </c>
      <c r="G26" s="46">
        <f t="shared" si="3"/>
        <v>500000000</v>
      </c>
      <c r="H26" s="46"/>
      <c r="I26" s="47">
        <f>J26+R26</f>
        <v>500000000</v>
      </c>
      <c r="J26" s="47">
        <f>SUM(K26:P26)</f>
        <v>500000000</v>
      </c>
      <c r="K26" s="143"/>
      <c r="L26" s="143">
        <f>'[2]DT CHI 2026'!$K$100*1000-N26</f>
        <v>450000000</v>
      </c>
      <c r="M26" s="143"/>
      <c r="N26" s="143">
        <v>50000000</v>
      </c>
      <c r="O26" s="143"/>
      <c r="P26" s="143"/>
      <c r="Q26" s="143"/>
      <c r="R26" s="143"/>
      <c r="S26" s="56"/>
      <c r="T26" s="56"/>
      <c r="U26" s="56"/>
      <c r="V26" s="56"/>
      <c r="W26" s="56"/>
      <c r="X26" s="47">
        <f>Z26+AB26</f>
        <v>500000000</v>
      </c>
      <c r="Y26" s="55"/>
      <c r="Z26" s="146">
        <f>L26</f>
        <v>450000000</v>
      </c>
      <c r="AA26" s="55"/>
      <c r="AB26" s="143">
        <v>50000000</v>
      </c>
      <c r="AC26" s="60"/>
    </row>
    <row r="27" spans="1:29" s="19" customFormat="1" ht="19.5" customHeight="1" x14ac:dyDescent="0.25">
      <c r="A27" s="55"/>
      <c r="B27" s="55"/>
      <c r="C27" s="55"/>
      <c r="D27" s="55">
        <v>338</v>
      </c>
      <c r="E27" s="55"/>
      <c r="F27" s="46" t="str">
        <f>'[2]DT CHI 2026'!$B$101</f>
        <v>Chi phí đấu giá đất theo Thông tư 03/2025/TT-BTC</v>
      </c>
      <c r="G27" s="46">
        <f t="shared" si="3"/>
        <v>300000000</v>
      </c>
      <c r="H27" s="46"/>
      <c r="I27" s="47">
        <f>J27+R27</f>
        <v>300000000</v>
      </c>
      <c r="J27" s="47">
        <f>SUM(K27:P27)</f>
        <v>300000000</v>
      </c>
      <c r="K27" s="143"/>
      <c r="L27" s="143">
        <f>'[2]DT CHI 2026'!$K$101*1000-N27</f>
        <v>270000000</v>
      </c>
      <c r="M27" s="143"/>
      <c r="N27" s="143">
        <v>30000000</v>
      </c>
      <c r="O27" s="143"/>
      <c r="P27" s="143"/>
      <c r="Q27" s="143"/>
      <c r="R27" s="143"/>
      <c r="S27" s="56"/>
      <c r="T27" s="56"/>
      <c r="U27" s="56"/>
      <c r="V27" s="56"/>
      <c r="W27" s="56"/>
      <c r="X27" s="47">
        <f>Z27+AB27</f>
        <v>300000000</v>
      </c>
      <c r="Y27" s="55"/>
      <c r="Z27" s="146">
        <f>L27</f>
        <v>270000000</v>
      </c>
      <c r="AA27" s="55"/>
      <c r="AB27" s="143">
        <v>30000000</v>
      </c>
      <c r="AC27" s="60"/>
    </row>
    <row r="28" spans="1:29" s="19" customFormat="1" ht="20.25" customHeight="1" x14ac:dyDescent="0.25">
      <c r="A28" s="55"/>
      <c r="B28" s="55"/>
      <c r="C28" s="55"/>
      <c r="D28" s="55">
        <v>338</v>
      </c>
      <c r="E28" s="55"/>
      <c r="F28" s="46" t="str">
        <f>'[2]DT CHI 2026'!$B$105</f>
        <v>Kinh phí hỗ trợ hoạt động bảo vệ đất trồng lúa theo 
Nghị quyết số 775/2025/NQ-HĐND của HĐND tỉnh</v>
      </c>
      <c r="G28" s="46">
        <f t="shared" si="3"/>
        <v>865000000</v>
      </c>
      <c r="H28" s="46"/>
      <c r="I28" s="47">
        <f>J28+R28</f>
        <v>865000000</v>
      </c>
      <c r="J28" s="47">
        <f>SUM(K28:P28)</f>
        <v>865000000</v>
      </c>
      <c r="K28" s="143"/>
      <c r="L28" s="143">
        <f>'[2]DT CHI 2026'!$K$105*1000</f>
        <v>865000000</v>
      </c>
      <c r="M28" s="143"/>
      <c r="N28" s="143"/>
      <c r="O28" s="143"/>
      <c r="P28" s="143"/>
      <c r="Q28" s="143"/>
      <c r="R28" s="143"/>
      <c r="S28" s="56"/>
      <c r="T28" s="153"/>
      <c r="U28" s="56"/>
      <c r="V28" s="56"/>
      <c r="W28" s="56"/>
      <c r="X28" s="47">
        <f>Z28</f>
        <v>865000000</v>
      </c>
      <c r="Y28" s="55"/>
      <c r="Z28" s="146">
        <f>L28</f>
        <v>865000000</v>
      </c>
      <c r="AA28" s="55"/>
      <c r="AB28" s="143"/>
      <c r="AC28" s="60"/>
    </row>
    <row r="29" spans="1:29" s="24" customFormat="1" ht="21.75" customHeight="1" x14ac:dyDescent="0.25">
      <c r="A29" s="154">
        <v>7</v>
      </c>
      <c r="B29" s="154">
        <v>831</v>
      </c>
      <c r="C29" s="154">
        <v>100</v>
      </c>
      <c r="D29" s="154">
        <v>108</v>
      </c>
      <c r="E29" s="154"/>
      <c r="F29" s="155" t="s">
        <v>75</v>
      </c>
      <c r="G29" s="44">
        <f t="shared" si="3"/>
        <v>35000000</v>
      </c>
      <c r="H29" s="156"/>
      <c r="I29" s="45">
        <f t="shared" ref="I29:AB29" si="9">I30</f>
        <v>35000000</v>
      </c>
      <c r="J29" s="45">
        <f t="shared" si="9"/>
        <v>35000000</v>
      </c>
      <c r="K29" s="45">
        <f t="shared" si="9"/>
        <v>0</v>
      </c>
      <c r="L29" s="45">
        <f>L30</f>
        <v>35000000</v>
      </c>
      <c r="M29" s="45">
        <f t="shared" si="9"/>
        <v>0</v>
      </c>
      <c r="N29" s="45">
        <f t="shared" si="9"/>
        <v>0</v>
      </c>
      <c r="O29" s="45">
        <f t="shared" si="9"/>
        <v>0</v>
      </c>
      <c r="P29" s="45">
        <f t="shared" si="9"/>
        <v>0</v>
      </c>
      <c r="Q29" s="45"/>
      <c r="R29" s="45">
        <f t="shared" si="9"/>
        <v>0</v>
      </c>
      <c r="S29" s="45">
        <f>S30</f>
        <v>35000000</v>
      </c>
      <c r="T29" s="45">
        <f t="shared" si="9"/>
        <v>0</v>
      </c>
      <c r="U29" s="45">
        <f t="shared" si="9"/>
        <v>35000000</v>
      </c>
      <c r="V29" s="45">
        <f t="shared" si="9"/>
        <v>0</v>
      </c>
      <c r="W29" s="45">
        <f t="shared" si="9"/>
        <v>0</v>
      </c>
      <c r="X29" s="45">
        <f t="shared" si="9"/>
        <v>0</v>
      </c>
      <c r="Y29" s="45">
        <f t="shared" si="9"/>
        <v>0</v>
      </c>
      <c r="Z29" s="45">
        <f t="shared" si="9"/>
        <v>0</v>
      </c>
      <c r="AA29" s="45">
        <f t="shared" si="9"/>
        <v>0</v>
      </c>
      <c r="AB29" s="45">
        <f t="shared" si="9"/>
        <v>0</v>
      </c>
      <c r="AC29" s="59"/>
    </row>
    <row r="30" spans="1:29" s="19" customFormat="1" ht="18.75" customHeight="1" x14ac:dyDescent="0.25">
      <c r="A30" s="55"/>
      <c r="B30" s="55"/>
      <c r="C30" s="55"/>
      <c r="D30" s="55">
        <v>108</v>
      </c>
      <c r="E30" s="55"/>
      <c r="F30" s="157" t="s">
        <v>76</v>
      </c>
      <c r="G30" s="46">
        <f t="shared" si="3"/>
        <v>35000000</v>
      </c>
      <c r="H30" s="157"/>
      <c r="I30" s="47">
        <f>J30+R30</f>
        <v>35000000</v>
      </c>
      <c r="J30" s="47">
        <f>SUM(K30:P30)</f>
        <v>35000000</v>
      </c>
      <c r="K30" s="49"/>
      <c r="L30" s="49">
        <v>35000000</v>
      </c>
      <c r="M30" s="49"/>
      <c r="N30" s="49"/>
      <c r="O30" s="49"/>
      <c r="P30" s="49"/>
      <c r="Q30" s="49"/>
      <c r="R30" s="56"/>
      <c r="S30" s="56">
        <f>SUM(T30:W30)</f>
        <v>35000000</v>
      </c>
      <c r="T30" s="56"/>
      <c r="U30" s="56">
        <f>SUM(U31)</f>
        <v>35000000</v>
      </c>
      <c r="V30" s="56"/>
      <c r="W30" s="56"/>
      <c r="X30" s="56">
        <f>I30-S30</f>
        <v>0</v>
      </c>
      <c r="Y30" s="55"/>
      <c r="Z30" s="146"/>
      <c r="AA30" s="55"/>
      <c r="AB30" s="56"/>
      <c r="AC30" s="60"/>
    </row>
    <row r="31" spans="1:29" s="19" customFormat="1" ht="19.5" customHeight="1" x14ac:dyDescent="0.25">
      <c r="A31" s="55"/>
      <c r="B31" s="55"/>
      <c r="C31" s="55"/>
      <c r="D31" s="55">
        <v>108</v>
      </c>
      <c r="E31" s="55">
        <v>7053</v>
      </c>
      <c r="F31" s="157" t="s">
        <v>138</v>
      </c>
      <c r="G31" s="44"/>
      <c r="H31" s="157"/>
      <c r="I31" s="47"/>
      <c r="J31" s="47"/>
      <c r="K31" s="49"/>
      <c r="L31" s="49"/>
      <c r="M31" s="49"/>
      <c r="N31" s="49"/>
      <c r="O31" s="49"/>
      <c r="P31" s="49"/>
      <c r="Q31" s="49"/>
      <c r="R31" s="56"/>
      <c r="S31" s="56">
        <f>U31</f>
        <v>35000000</v>
      </c>
      <c r="T31" s="56"/>
      <c r="U31" s="56">
        <v>35000000</v>
      </c>
      <c r="V31" s="56"/>
      <c r="W31" s="56"/>
      <c r="X31" s="56"/>
      <c r="Y31" s="55"/>
      <c r="Z31" s="146"/>
      <c r="AA31" s="55"/>
      <c r="AB31" s="56"/>
      <c r="AC31" s="60"/>
    </row>
    <row r="32" spans="1:29" s="24" customFormat="1" ht="27" customHeight="1" x14ac:dyDescent="0.25">
      <c r="A32" s="267">
        <v>8</v>
      </c>
      <c r="B32" s="267">
        <v>831</v>
      </c>
      <c r="C32" s="267">
        <v>130</v>
      </c>
      <c r="D32" s="267">
        <v>133</v>
      </c>
      <c r="E32" s="267"/>
      <c r="F32" s="44" t="s">
        <v>77</v>
      </c>
      <c r="G32" s="44">
        <f>SUM(G33:G36)</f>
        <v>1356695700</v>
      </c>
      <c r="H32" s="44"/>
      <c r="I32" s="45">
        <f>SUM(I33:I36)</f>
        <v>1356695700</v>
      </c>
      <c r="J32" s="45">
        <f>SUM(J33:J36)</f>
        <v>337000000</v>
      </c>
      <c r="K32" s="45">
        <f t="shared" ref="K32:AB32" si="10">SUM(K33:K36)</f>
        <v>0</v>
      </c>
      <c r="L32" s="45">
        <f>SUM(L33:L36)</f>
        <v>337000000</v>
      </c>
      <c r="M32" s="45">
        <f t="shared" si="10"/>
        <v>0</v>
      </c>
      <c r="N32" s="45">
        <f t="shared" si="10"/>
        <v>0</v>
      </c>
      <c r="O32" s="45">
        <f t="shared" si="10"/>
        <v>0</v>
      </c>
      <c r="P32" s="45">
        <f t="shared" si="10"/>
        <v>0</v>
      </c>
      <c r="Q32" s="45"/>
      <c r="R32" s="45">
        <f t="shared" si="10"/>
        <v>1019695700</v>
      </c>
      <c r="S32" s="45">
        <f t="shared" si="10"/>
        <v>949163400</v>
      </c>
      <c r="T32" s="45">
        <f t="shared" si="10"/>
        <v>0</v>
      </c>
      <c r="U32" s="45">
        <f>SUM(U33:U36)</f>
        <v>949163400</v>
      </c>
      <c r="V32" s="45">
        <f t="shared" si="10"/>
        <v>0</v>
      </c>
      <c r="W32" s="45">
        <f t="shared" si="10"/>
        <v>0</v>
      </c>
      <c r="X32" s="45">
        <f>SUM(X33:X36)</f>
        <v>407532300</v>
      </c>
      <c r="Y32" s="45">
        <f t="shared" si="10"/>
        <v>0</v>
      </c>
      <c r="Z32" s="45">
        <f>SUM(Z33:Z36)</f>
        <v>407532300</v>
      </c>
      <c r="AA32" s="45">
        <f t="shared" si="10"/>
        <v>0</v>
      </c>
      <c r="AB32" s="45">
        <f t="shared" si="10"/>
        <v>0</v>
      </c>
      <c r="AC32" s="59"/>
    </row>
    <row r="33" spans="1:30" s="19" customFormat="1" ht="18" customHeight="1" x14ac:dyDescent="0.25">
      <c r="A33" s="55"/>
      <c r="B33" s="55"/>
      <c r="C33" s="55"/>
      <c r="D33" s="55">
        <v>133</v>
      </c>
      <c r="E33" s="55"/>
      <c r="F33" s="46" t="s">
        <v>78</v>
      </c>
      <c r="G33" s="44">
        <f>I33</f>
        <v>45000000</v>
      </c>
      <c r="H33" s="46"/>
      <c r="I33" s="47">
        <f>J33+R33</f>
        <v>45000000</v>
      </c>
      <c r="J33" s="47">
        <f>SUM(K33:P33)</f>
        <v>45000000</v>
      </c>
      <c r="K33" s="49"/>
      <c r="L33" s="49">
        <f>45000*1000</f>
        <v>45000000</v>
      </c>
      <c r="M33" s="49"/>
      <c r="N33" s="49"/>
      <c r="O33" s="49"/>
      <c r="P33" s="49"/>
      <c r="Q33" s="49"/>
      <c r="R33" s="56"/>
      <c r="S33" s="56">
        <v>8845200</v>
      </c>
      <c r="T33" s="56"/>
      <c r="U33" s="56">
        <v>8845200</v>
      </c>
      <c r="V33" s="56"/>
      <c r="W33" s="56"/>
      <c r="X33" s="56">
        <f>I33-S33</f>
        <v>36154800</v>
      </c>
      <c r="Y33" s="55"/>
      <c r="Z33" s="146">
        <f>X33</f>
        <v>36154800</v>
      </c>
      <c r="AA33" s="55"/>
      <c r="AB33" s="56"/>
      <c r="AC33" s="60"/>
    </row>
    <row r="34" spans="1:30" s="19" customFormat="1" ht="18" customHeight="1" x14ac:dyDescent="0.25">
      <c r="A34" s="55"/>
      <c r="B34" s="55"/>
      <c r="C34" s="55"/>
      <c r="D34" s="55">
        <v>133</v>
      </c>
      <c r="E34" s="55"/>
      <c r="F34" s="46" t="s">
        <v>79</v>
      </c>
      <c r="G34" s="44">
        <f>I34</f>
        <v>126000000</v>
      </c>
      <c r="H34" s="46"/>
      <c r="I34" s="47">
        <f>J34+R34</f>
        <v>126000000</v>
      </c>
      <c r="J34" s="47">
        <f>SUM(K34:P34)</f>
        <v>126000000</v>
      </c>
      <c r="K34" s="49"/>
      <c r="L34" s="49">
        <f>126000*1000</f>
        <v>126000000</v>
      </c>
      <c r="M34" s="49"/>
      <c r="N34" s="49"/>
      <c r="O34" s="49"/>
      <c r="P34" s="49"/>
      <c r="Q34" s="49"/>
      <c r="R34" s="45"/>
      <c r="S34" s="56">
        <f>34117200+33813450</f>
        <v>67930650</v>
      </c>
      <c r="T34" s="56"/>
      <c r="U34" s="56">
        <f>S34</f>
        <v>67930650</v>
      </c>
      <c r="V34" s="56"/>
      <c r="W34" s="56"/>
      <c r="X34" s="56">
        <f>I34-S34</f>
        <v>58069350</v>
      </c>
      <c r="Y34" s="55"/>
      <c r="Z34" s="146">
        <f>X34</f>
        <v>58069350</v>
      </c>
      <c r="AA34" s="55"/>
      <c r="AB34" s="56"/>
      <c r="AC34" s="60"/>
    </row>
    <row r="35" spans="1:30" s="19" customFormat="1" ht="30.75" customHeight="1" x14ac:dyDescent="0.25">
      <c r="A35" s="55"/>
      <c r="B35" s="55"/>
      <c r="C35" s="55"/>
      <c r="D35" s="55">
        <v>133</v>
      </c>
      <c r="E35" s="55"/>
      <c r="F35" s="46" t="s">
        <v>80</v>
      </c>
      <c r="G35" s="44">
        <f>I35</f>
        <v>166000000</v>
      </c>
      <c r="H35" s="46"/>
      <c r="I35" s="47">
        <f>J35+R35</f>
        <v>166000000</v>
      </c>
      <c r="J35" s="47">
        <f>SUM(K35:P35)</f>
        <v>166000000</v>
      </c>
      <c r="K35" s="49"/>
      <c r="L35" s="49">
        <f>166000*1000</f>
        <v>166000000</v>
      </c>
      <c r="M35" s="49"/>
      <c r="N35" s="49"/>
      <c r="O35" s="49"/>
      <c r="P35" s="49"/>
      <c r="Q35" s="49"/>
      <c r="R35" s="56"/>
      <c r="S35" s="56">
        <f>L35</f>
        <v>166000000</v>
      </c>
      <c r="T35" s="148"/>
      <c r="U35" s="56">
        <f>S35</f>
        <v>166000000</v>
      </c>
      <c r="V35" s="56"/>
      <c r="W35" s="56"/>
      <c r="X35" s="56">
        <f>I35-S35</f>
        <v>0</v>
      </c>
      <c r="Y35" s="55"/>
      <c r="Z35" s="146">
        <f>X35</f>
        <v>0</v>
      </c>
      <c r="AA35" s="55"/>
      <c r="AB35" s="56"/>
      <c r="AC35" s="261">
        <f>G35+G36</f>
        <v>1185695700</v>
      </c>
      <c r="AD35" s="193">
        <f>S35+S36</f>
        <v>872387550</v>
      </c>
    </row>
    <row r="36" spans="1:30" s="19" customFormat="1" ht="34.5" customHeight="1" x14ac:dyDescent="0.25">
      <c r="A36" s="55"/>
      <c r="B36" s="55"/>
      <c r="C36" s="55"/>
      <c r="D36" s="55">
        <v>133</v>
      </c>
      <c r="E36" s="55"/>
      <c r="F36" s="46" t="s">
        <v>112</v>
      </c>
      <c r="G36" s="44">
        <f>I36</f>
        <v>1019695700</v>
      </c>
      <c r="H36" s="46"/>
      <c r="I36" s="47">
        <f>R36</f>
        <v>1019695700</v>
      </c>
      <c r="J36" s="47"/>
      <c r="K36" s="49"/>
      <c r="L36" s="49"/>
      <c r="M36" s="49"/>
      <c r="N36" s="49"/>
      <c r="O36" s="49"/>
      <c r="P36" s="49"/>
      <c r="Q36" s="49"/>
      <c r="R36" s="56">
        <v>1019695700</v>
      </c>
      <c r="S36" s="158">
        <f>415677200+275787450+5806350+9116550</f>
        <v>706387550</v>
      </c>
      <c r="T36" s="148"/>
      <c r="U36" s="56">
        <f>S36</f>
        <v>706387550</v>
      </c>
      <c r="V36" s="56"/>
      <c r="W36" s="56"/>
      <c r="X36" s="56">
        <f>I36-S36</f>
        <v>313308150</v>
      </c>
      <c r="Y36" s="55"/>
      <c r="Z36" s="146">
        <f>X36</f>
        <v>313308150</v>
      </c>
      <c r="AA36" s="55"/>
      <c r="AB36" s="56"/>
      <c r="AC36" s="60"/>
    </row>
    <row r="37" spans="1:30" s="24" customFormat="1" ht="23.25" customHeight="1" x14ac:dyDescent="0.25">
      <c r="A37" s="267">
        <v>9</v>
      </c>
      <c r="B37" s="267">
        <v>831</v>
      </c>
      <c r="C37" s="267">
        <v>340</v>
      </c>
      <c r="D37" s="267">
        <v>341</v>
      </c>
      <c r="E37" s="267"/>
      <c r="F37" s="44" t="s">
        <v>46</v>
      </c>
      <c r="G37" s="44"/>
      <c r="H37" s="44"/>
      <c r="I37" s="45">
        <f>J37+R37</f>
        <v>0</v>
      </c>
      <c r="J37" s="45">
        <f>SUM(K37:P37)</f>
        <v>0</v>
      </c>
      <c r="K37" s="147"/>
      <c r="L37" s="147"/>
      <c r="M37" s="147"/>
      <c r="N37" s="147"/>
      <c r="O37" s="159"/>
      <c r="P37" s="159"/>
      <c r="Q37" s="159"/>
      <c r="R37" s="43"/>
      <c r="S37" s="43"/>
      <c r="T37" s="43"/>
      <c r="U37" s="43"/>
      <c r="V37" s="43"/>
      <c r="W37" s="43"/>
      <c r="X37" s="43"/>
      <c r="Y37" s="267"/>
      <c r="Z37" s="267"/>
      <c r="AA37" s="267"/>
      <c r="AB37" s="43"/>
      <c r="AC37" s="59"/>
    </row>
    <row r="38" spans="1:30" s="24" customFormat="1" ht="23.25" customHeight="1" x14ac:dyDescent="0.25">
      <c r="A38" s="267"/>
      <c r="B38" s="267"/>
      <c r="C38" s="267"/>
      <c r="D38" s="267">
        <v>341</v>
      </c>
      <c r="E38" s="267"/>
      <c r="F38" s="44" t="s">
        <v>47</v>
      </c>
      <c r="G38" s="44">
        <f t="shared" si="3"/>
        <v>1693709000</v>
      </c>
      <c r="H38" s="44"/>
      <c r="I38" s="45">
        <f>J38+R38</f>
        <v>1693709000</v>
      </c>
      <c r="J38" s="45">
        <f>SUM(K38:P38)</f>
        <v>1693709000</v>
      </c>
      <c r="K38" s="147">
        <f>K39+K47</f>
        <v>1537749000</v>
      </c>
      <c r="L38" s="147">
        <f t="shared" ref="L38:S38" si="11">L39+L47</f>
        <v>0</v>
      </c>
      <c r="M38" s="147">
        <f t="shared" si="11"/>
        <v>93560000</v>
      </c>
      <c r="N38" s="147">
        <f>N39+N47+N56</f>
        <v>62400000</v>
      </c>
      <c r="O38" s="147">
        <f t="shared" si="11"/>
        <v>0</v>
      </c>
      <c r="P38" s="147">
        <f t="shared" si="11"/>
        <v>0</v>
      </c>
      <c r="Q38" s="147"/>
      <c r="R38" s="147">
        <f t="shared" si="11"/>
        <v>0</v>
      </c>
      <c r="S38" s="147">
        <f t="shared" si="11"/>
        <v>1259574434</v>
      </c>
      <c r="T38" s="147">
        <f>T39+T47</f>
        <v>1259574434</v>
      </c>
      <c r="U38" s="43">
        <f>SUM(U39:U46)</f>
        <v>0</v>
      </c>
      <c r="V38" s="43">
        <f t="shared" ref="V38:AA38" si="12">SUM(V39:V47)</f>
        <v>0</v>
      </c>
      <c r="W38" s="43">
        <f t="shared" si="12"/>
        <v>0</v>
      </c>
      <c r="X38" s="43">
        <f>Y38+AA38+AB38</f>
        <v>434134566</v>
      </c>
      <c r="Y38" s="43">
        <f>SUM(Y39:Y47)</f>
        <v>278174566</v>
      </c>
      <c r="Z38" s="43">
        <f t="shared" si="12"/>
        <v>0</v>
      </c>
      <c r="AA38" s="43">
        <f t="shared" si="12"/>
        <v>93560000</v>
      </c>
      <c r="AB38" s="43">
        <f>AB47+AB56</f>
        <v>62400000</v>
      </c>
      <c r="AC38" s="59"/>
    </row>
    <row r="39" spans="1:30" s="24" customFormat="1" ht="18.75" customHeight="1" x14ac:dyDescent="0.25">
      <c r="A39" s="267"/>
      <c r="B39" s="267"/>
      <c r="C39" s="267"/>
      <c r="D39" s="267">
        <v>341</v>
      </c>
      <c r="E39" s="267"/>
      <c r="F39" s="44" t="s">
        <v>4</v>
      </c>
      <c r="G39" s="44">
        <f t="shared" si="3"/>
        <v>1311709000</v>
      </c>
      <c r="H39" s="44"/>
      <c r="I39" s="45">
        <f>J39+R39</f>
        <v>1311709000</v>
      </c>
      <c r="J39" s="45">
        <f>SUM(K39:P39)</f>
        <v>1311709000</v>
      </c>
      <c r="K39" s="147">
        <v>1218149000</v>
      </c>
      <c r="L39" s="147"/>
      <c r="M39" s="147">
        <v>93560000</v>
      </c>
      <c r="N39" s="147"/>
      <c r="O39" s="45"/>
      <c r="P39" s="45"/>
      <c r="Q39" s="45"/>
      <c r="R39" s="43"/>
      <c r="S39" s="43">
        <f>SUM(S40:S46)</f>
        <v>1093568952</v>
      </c>
      <c r="T39" s="43">
        <f>SUM(T40:T46)</f>
        <v>1093568952</v>
      </c>
      <c r="U39" s="43"/>
      <c r="V39" s="43"/>
      <c r="W39" s="43"/>
      <c r="X39" s="43">
        <f>I39-S39</f>
        <v>218140048</v>
      </c>
      <c r="Y39" s="259">
        <f>K39-S39</f>
        <v>124580048</v>
      </c>
      <c r="Z39" s="267"/>
      <c r="AA39" s="43">
        <f>M39</f>
        <v>93560000</v>
      </c>
      <c r="AB39" s="160"/>
      <c r="AC39" s="59"/>
    </row>
    <row r="40" spans="1:30" s="19" customFormat="1" ht="16.5" customHeight="1" x14ac:dyDescent="0.25">
      <c r="A40" s="55"/>
      <c r="B40" s="55"/>
      <c r="C40" s="55"/>
      <c r="D40" s="55">
        <v>341</v>
      </c>
      <c r="E40" s="55">
        <v>6001</v>
      </c>
      <c r="F40" s="46" t="s">
        <v>219</v>
      </c>
      <c r="G40" s="44"/>
      <c r="H40" s="161"/>
      <c r="I40" s="47"/>
      <c r="J40" s="47"/>
      <c r="K40" s="143"/>
      <c r="L40" s="143"/>
      <c r="M40" s="143"/>
      <c r="N40" s="143"/>
      <c r="O40" s="47"/>
      <c r="P40" s="47"/>
      <c r="Q40" s="47"/>
      <c r="R40" s="56"/>
      <c r="S40" s="56">
        <f>440396892+77092516+77092516+88324742</f>
        <v>682906666</v>
      </c>
      <c r="T40" s="56">
        <f t="shared" ref="T40:T45" si="13">S40</f>
        <v>682906666</v>
      </c>
      <c r="U40" s="56"/>
      <c r="V40" s="56"/>
      <c r="W40" s="56"/>
      <c r="X40" s="56"/>
      <c r="Y40" s="146"/>
      <c r="Z40" s="55"/>
      <c r="AA40" s="56"/>
      <c r="AB40" s="162"/>
      <c r="AC40" s="60"/>
    </row>
    <row r="41" spans="1:30" s="19" customFormat="1" ht="16.5" customHeight="1" x14ac:dyDescent="0.25">
      <c r="A41" s="55"/>
      <c r="B41" s="55"/>
      <c r="C41" s="55"/>
      <c r="D41" s="55">
        <v>341</v>
      </c>
      <c r="E41" s="55">
        <v>6101</v>
      </c>
      <c r="F41" s="163" t="s">
        <v>220</v>
      </c>
      <c r="G41" s="44"/>
      <c r="H41" s="161"/>
      <c r="I41" s="47"/>
      <c r="J41" s="47"/>
      <c r="K41" s="143"/>
      <c r="L41" s="143"/>
      <c r="M41" s="143"/>
      <c r="N41" s="143"/>
      <c r="O41" s="47"/>
      <c r="P41" s="47"/>
      <c r="Q41" s="47"/>
      <c r="R41" s="56"/>
      <c r="S41" s="56">
        <f>6988410+1259308+1233515+1259308</f>
        <v>10740541</v>
      </c>
      <c r="T41" s="56">
        <f t="shared" si="13"/>
        <v>10740541</v>
      </c>
      <c r="U41" s="56"/>
      <c r="V41" s="56"/>
      <c r="W41" s="56"/>
      <c r="X41" s="56"/>
      <c r="Y41" s="146"/>
      <c r="Z41" s="55"/>
      <c r="AA41" s="56"/>
      <c r="AB41" s="162"/>
      <c r="AC41" s="60"/>
    </row>
    <row r="42" spans="1:30" s="19" customFormat="1" ht="23.25" customHeight="1" x14ac:dyDescent="0.25">
      <c r="A42" s="55"/>
      <c r="B42" s="55"/>
      <c r="C42" s="55"/>
      <c r="D42" s="55">
        <v>341</v>
      </c>
      <c r="E42" s="55">
        <v>6124</v>
      </c>
      <c r="F42" s="46" t="s">
        <v>224</v>
      </c>
      <c r="G42" s="44"/>
      <c r="H42" s="161"/>
      <c r="I42" s="47"/>
      <c r="J42" s="47"/>
      <c r="K42" s="143"/>
      <c r="L42" s="143"/>
      <c r="M42" s="143"/>
      <c r="N42" s="143"/>
      <c r="O42" s="47"/>
      <c r="P42" s="47"/>
      <c r="Q42" s="47"/>
      <c r="R42" s="56"/>
      <c r="S42" s="56">
        <f>123587100+21644150+21644150+24746975</f>
        <v>191622375</v>
      </c>
      <c r="T42" s="56">
        <f>S42</f>
        <v>191622375</v>
      </c>
      <c r="U42" s="56"/>
      <c r="V42" s="56"/>
      <c r="W42" s="56"/>
      <c r="X42" s="56"/>
      <c r="Y42" s="146"/>
      <c r="Z42" s="55"/>
      <c r="AA42" s="56"/>
      <c r="AB42" s="162"/>
      <c r="AC42" s="60"/>
    </row>
    <row r="43" spans="1:30" s="19" customFormat="1" ht="20.25" customHeight="1" x14ac:dyDescent="0.25">
      <c r="A43" s="55"/>
      <c r="B43" s="55"/>
      <c r="C43" s="55"/>
      <c r="D43" s="55">
        <v>341</v>
      </c>
      <c r="E43" s="55">
        <v>6113</v>
      </c>
      <c r="F43" s="46" t="s">
        <v>262</v>
      </c>
      <c r="G43" s="44"/>
      <c r="H43" s="161"/>
      <c r="I43" s="47"/>
      <c r="J43" s="47"/>
      <c r="K43" s="143"/>
      <c r="L43" s="143"/>
      <c r="M43" s="143"/>
      <c r="N43" s="143"/>
      <c r="O43" s="47"/>
      <c r="P43" s="47"/>
      <c r="Q43" s="47"/>
      <c r="R43" s="56"/>
      <c r="S43" s="56">
        <f>506000+3314000+506000</f>
        <v>4326000</v>
      </c>
      <c r="T43" s="56">
        <f t="shared" si="13"/>
        <v>4326000</v>
      </c>
      <c r="U43" s="56"/>
      <c r="V43" s="56"/>
      <c r="W43" s="56"/>
      <c r="X43" s="56"/>
      <c r="Y43" s="146"/>
      <c r="Z43" s="55"/>
      <c r="AA43" s="56"/>
      <c r="AB43" s="162"/>
      <c r="AC43" s="60"/>
    </row>
    <row r="44" spans="1:30" s="19" customFormat="1" ht="17.25" customHeight="1" x14ac:dyDescent="0.25">
      <c r="A44" s="55"/>
      <c r="B44" s="55"/>
      <c r="C44" s="55"/>
      <c r="D44" s="55">
        <v>341</v>
      </c>
      <c r="E44" s="55">
        <v>6301</v>
      </c>
      <c r="F44" s="46" t="s">
        <v>226</v>
      </c>
      <c r="G44" s="44"/>
      <c r="H44" s="161"/>
      <c r="I44" s="47"/>
      <c r="J44" s="47"/>
      <c r="K44" s="143"/>
      <c r="L44" s="143"/>
      <c r="M44" s="143"/>
      <c r="N44" s="143"/>
      <c r="O44" s="47"/>
      <c r="P44" s="47"/>
      <c r="Q44" s="47"/>
      <c r="R44" s="56"/>
      <c r="S44" s="56">
        <v>169958480</v>
      </c>
      <c r="T44" s="56">
        <f t="shared" si="13"/>
        <v>169958480</v>
      </c>
      <c r="U44" s="56"/>
      <c r="V44" s="56"/>
      <c r="W44" s="56"/>
      <c r="X44" s="56"/>
      <c r="Y44" s="146"/>
      <c r="Z44" s="55"/>
      <c r="AA44" s="56"/>
      <c r="AB44" s="162"/>
      <c r="AC44" s="60"/>
    </row>
    <row r="45" spans="1:30" s="19" customFormat="1" ht="21.75" customHeight="1" x14ac:dyDescent="0.25">
      <c r="A45" s="55"/>
      <c r="B45" s="55"/>
      <c r="C45" s="55"/>
      <c r="D45" s="55">
        <v>341</v>
      </c>
      <c r="E45" s="55">
        <v>6302</v>
      </c>
      <c r="F45" s="46" t="s">
        <v>228</v>
      </c>
      <c r="G45" s="44"/>
      <c r="H45" s="161"/>
      <c r="I45" s="47"/>
      <c r="J45" s="47"/>
      <c r="K45" s="143"/>
      <c r="L45" s="143"/>
      <c r="M45" s="143"/>
      <c r="N45" s="143"/>
      <c r="O45" s="47"/>
      <c r="P45" s="47"/>
      <c r="Q45" s="47"/>
      <c r="R45" s="56"/>
      <c r="S45" s="56">
        <v>30615715.200000003</v>
      </c>
      <c r="T45" s="56">
        <f t="shared" si="13"/>
        <v>30615715.200000003</v>
      </c>
      <c r="U45" s="56"/>
      <c r="V45" s="56"/>
      <c r="W45" s="56"/>
      <c r="X45" s="56"/>
      <c r="Y45" s="146"/>
      <c r="Z45" s="55"/>
      <c r="AA45" s="56"/>
      <c r="AB45" s="162"/>
      <c r="AC45" s="60"/>
    </row>
    <row r="46" spans="1:30" s="19" customFormat="1" ht="19.5" customHeight="1" x14ac:dyDescent="0.25">
      <c r="A46" s="55"/>
      <c r="B46" s="55"/>
      <c r="C46" s="55"/>
      <c r="D46" s="55">
        <v>341</v>
      </c>
      <c r="E46" s="55">
        <v>6349</v>
      </c>
      <c r="F46" s="46" t="s">
        <v>230</v>
      </c>
      <c r="G46" s="44"/>
      <c r="H46" s="161"/>
      <c r="I46" s="47"/>
      <c r="J46" s="47"/>
      <c r="K46" s="143"/>
      <c r="L46" s="143"/>
      <c r="M46" s="143"/>
      <c r="N46" s="143"/>
      <c r="O46" s="47"/>
      <c r="P46" s="47"/>
      <c r="Q46" s="47"/>
      <c r="R46" s="56"/>
      <c r="S46" s="56">
        <v>3399174.8</v>
      </c>
      <c r="T46" s="56">
        <f>S46</f>
        <v>3399174.8</v>
      </c>
      <c r="U46" s="56"/>
      <c r="V46" s="56"/>
      <c r="W46" s="56"/>
      <c r="X46" s="56"/>
      <c r="Y46" s="146"/>
      <c r="Z46" s="55"/>
      <c r="AA46" s="56"/>
      <c r="AB46" s="162"/>
      <c r="AC46" s="60"/>
    </row>
    <row r="47" spans="1:30" s="24" customFormat="1" ht="17.25" customHeight="1" x14ac:dyDescent="0.25">
      <c r="A47" s="160"/>
      <c r="B47" s="267"/>
      <c r="C47" s="267"/>
      <c r="D47" s="267">
        <v>341</v>
      </c>
      <c r="E47" s="267"/>
      <c r="F47" s="44" t="s">
        <v>5</v>
      </c>
      <c r="G47" s="44">
        <f t="shared" si="3"/>
        <v>374000000</v>
      </c>
      <c r="H47" s="44"/>
      <c r="I47" s="45">
        <f>J47+R47</f>
        <v>374000000</v>
      </c>
      <c r="J47" s="45">
        <f>SUM(K47:P47)</f>
        <v>374000000</v>
      </c>
      <c r="K47" s="147">
        <f>'[1]KHỐI CÁC PHÒNG BAN NGÀNH'!$I$22-N47</f>
        <v>319600000</v>
      </c>
      <c r="L47" s="147"/>
      <c r="M47" s="147"/>
      <c r="N47" s="147">
        <f>37400000+17000000</f>
        <v>54400000</v>
      </c>
      <c r="O47" s="164"/>
      <c r="P47" s="164"/>
      <c r="Q47" s="164"/>
      <c r="R47" s="43"/>
      <c r="S47" s="43">
        <f>SUM(S48:S55)</f>
        <v>166005482</v>
      </c>
      <c r="T47" s="43">
        <f>SUM(T48:T55)</f>
        <v>166005482</v>
      </c>
      <c r="U47" s="43"/>
      <c r="V47" s="43"/>
      <c r="W47" s="43"/>
      <c r="X47" s="43">
        <f>I47-S47</f>
        <v>207994518</v>
      </c>
      <c r="Y47" s="150">
        <f>K47-T47</f>
        <v>153594518</v>
      </c>
      <c r="Z47" s="267"/>
      <c r="AA47" s="267"/>
      <c r="AB47" s="43">
        <f>N47</f>
        <v>54400000</v>
      </c>
      <c r="AC47" s="59"/>
    </row>
    <row r="48" spans="1:30" s="19" customFormat="1" ht="18.75" customHeight="1" x14ac:dyDescent="0.25">
      <c r="A48" s="162"/>
      <c r="B48" s="55"/>
      <c r="C48" s="55"/>
      <c r="D48" s="55">
        <v>341</v>
      </c>
      <c r="E48" s="55">
        <v>6299</v>
      </c>
      <c r="F48" s="46" t="s">
        <v>225</v>
      </c>
      <c r="G48" s="44"/>
      <c r="H48" s="161"/>
      <c r="I48" s="47"/>
      <c r="J48" s="47"/>
      <c r="K48" s="143"/>
      <c r="L48" s="143"/>
      <c r="M48" s="143"/>
      <c r="N48" s="143"/>
      <c r="O48" s="165"/>
      <c r="P48" s="165"/>
      <c r="Q48" s="165"/>
      <c r="R48" s="56"/>
      <c r="S48" s="56">
        <f>11000000+6000000</f>
        <v>17000000</v>
      </c>
      <c r="T48" s="152">
        <f>S48</f>
        <v>17000000</v>
      </c>
      <c r="U48" s="56"/>
      <c r="V48" s="56"/>
      <c r="W48" s="56"/>
      <c r="X48" s="56"/>
      <c r="Y48" s="146"/>
      <c r="Z48" s="55"/>
      <c r="AA48" s="55"/>
      <c r="AB48" s="56"/>
      <c r="AC48" s="60"/>
    </row>
    <row r="49" spans="1:29" s="19" customFormat="1" ht="18.75" customHeight="1" x14ac:dyDescent="0.25">
      <c r="A49" s="162"/>
      <c r="B49" s="55"/>
      <c r="C49" s="55"/>
      <c r="D49" s="55">
        <v>341</v>
      </c>
      <c r="E49" s="162">
        <v>6551</v>
      </c>
      <c r="F49" s="166" t="s">
        <v>235</v>
      </c>
      <c r="G49" s="44"/>
      <c r="H49" s="161"/>
      <c r="I49" s="47"/>
      <c r="J49" s="47"/>
      <c r="K49" s="143"/>
      <c r="L49" s="143"/>
      <c r="M49" s="143"/>
      <c r="N49" s="143"/>
      <c r="O49" s="165"/>
      <c r="P49" s="165"/>
      <c r="Q49" s="165"/>
      <c r="R49" s="56"/>
      <c r="S49" s="56">
        <v>65509896</v>
      </c>
      <c r="T49" s="56">
        <f>S49</f>
        <v>65509896</v>
      </c>
      <c r="U49" s="56"/>
      <c r="V49" s="56"/>
      <c r="W49" s="56"/>
      <c r="X49" s="56"/>
      <c r="Y49" s="146"/>
      <c r="Z49" s="55"/>
      <c r="AA49" s="55"/>
      <c r="AB49" s="56"/>
      <c r="AC49" s="60"/>
    </row>
    <row r="50" spans="1:29" s="19" customFormat="1" ht="18.75" customHeight="1" x14ac:dyDescent="0.25">
      <c r="A50" s="162"/>
      <c r="B50" s="55"/>
      <c r="C50" s="55"/>
      <c r="D50" s="55">
        <v>341</v>
      </c>
      <c r="E50" s="55">
        <v>6704</v>
      </c>
      <c r="F50" s="46" t="s">
        <v>237</v>
      </c>
      <c r="G50" s="44"/>
      <c r="H50" s="161"/>
      <c r="I50" s="47"/>
      <c r="J50" s="47"/>
      <c r="K50" s="143"/>
      <c r="L50" s="143"/>
      <c r="M50" s="143"/>
      <c r="N50" s="143"/>
      <c r="O50" s="165"/>
      <c r="P50" s="165"/>
      <c r="Q50" s="165"/>
      <c r="R50" s="56"/>
      <c r="S50" s="56">
        <f>24000000+4000000+4000000+4350000</f>
        <v>36350000</v>
      </c>
      <c r="T50" s="56">
        <f>S50</f>
        <v>36350000</v>
      </c>
      <c r="U50" s="56"/>
      <c r="V50" s="56"/>
      <c r="W50" s="56"/>
      <c r="X50" s="56"/>
      <c r="Y50" s="146"/>
      <c r="Z50" s="55"/>
      <c r="AA50" s="55"/>
      <c r="AB50" s="56"/>
      <c r="AC50" s="60"/>
    </row>
    <row r="51" spans="1:29" s="19" customFormat="1" ht="18.75" customHeight="1" x14ac:dyDescent="0.25">
      <c r="A51" s="162"/>
      <c r="B51" s="55"/>
      <c r="C51" s="55"/>
      <c r="D51" s="55">
        <v>341</v>
      </c>
      <c r="E51" s="55">
        <v>6912</v>
      </c>
      <c r="F51" s="46" t="s">
        <v>239</v>
      </c>
      <c r="G51" s="44"/>
      <c r="H51" s="161"/>
      <c r="I51" s="47"/>
      <c r="J51" s="47"/>
      <c r="K51" s="143"/>
      <c r="L51" s="143"/>
      <c r="M51" s="143"/>
      <c r="N51" s="143"/>
      <c r="O51" s="165"/>
      <c r="P51" s="165"/>
      <c r="Q51" s="165"/>
      <c r="R51" s="56"/>
      <c r="S51" s="56">
        <v>19201520</v>
      </c>
      <c r="T51" s="56">
        <v>19201520</v>
      </c>
      <c r="U51" s="56"/>
      <c r="V51" s="56"/>
      <c r="W51" s="56"/>
      <c r="X51" s="56"/>
      <c r="Y51" s="146"/>
      <c r="Z51" s="55"/>
      <c r="AA51" s="55"/>
      <c r="AB51" s="56"/>
      <c r="AC51" s="60"/>
    </row>
    <row r="52" spans="1:29" s="19" customFormat="1" ht="18.75" customHeight="1" x14ac:dyDescent="0.25">
      <c r="A52" s="162"/>
      <c r="B52" s="55"/>
      <c r="C52" s="55"/>
      <c r="D52" s="55">
        <v>341</v>
      </c>
      <c r="E52" s="55">
        <v>7001</v>
      </c>
      <c r="F52" s="46" t="s">
        <v>241</v>
      </c>
      <c r="G52" s="44"/>
      <c r="H52" s="161"/>
      <c r="I52" s="47"/>
      <c r="J52" s="47"/>
      <c r="K52" s="143"/>
      <c r="L52" s="143"/>
      <c r="M52" s="143"/>
      <c r="N52" s="143"/>
      <c r="O52" s="165"/>
      <c r="P52" s="165"/>
      <c r="Q52" s="165"/>
      <c r="R52" s="56"/>
      <c r="S52" s="56">
        <v>2235000</v>
      </c>
      <c r="T52" s="56">
        <f>S52</f>
        <v>2235000</v>
      </c>
      <c r="U52" s="56"/>
      <c r="V52" s="56"/>
      <c r="W52" s="56"/>
      <c r="X52" s="56"/>
      <c r="Y52" s="146"/>
      <c r="Z52" s="55"/>
      <c r="AA52" s="55"/>
      <c r="AB52" s="56"/>
      <c r="AC52" s="60"/>
    </row>
    <row r="53" spans="1:29" s="19" customFormat="1" ht="16.5" customHeight="1" x14ac:dyDescent="0.25">
      <c r="A53" s="162"/>
      <c r="B53" s="55"/>
      <c r="C53" s="55"/>
      <c r="D53" s="55">
        <v>341</v>
      </c>
      <c r="E53" s="55">
        <v>7799</v>
      </c>
      <c r="F53" s="46" t="s">
        <v>245</v>
      </c>
      <c r="G53" s="44"/>
      <c r="H53" s="161"/>
      <c r="I53" s="47"/>
      <c r="J53" s="47"/>
      <c r="K53" s="143"/>
      <c r="L53" s="143"/>
      <c r="M53" s="143"/>
      <c r="N53" s="143"/>
      <c r="O53" s="165"/>
      <c r="P53" s="165"/>
      <c r="Q53" s="165"/>
      <c r="R53" s="56"/>
      <c r="S53" s="56">
        <v>6029660</v>
      </c>
      <c r="T53" s="56">
        <v>6029660</v>
      </c>
      <c r="U53" s="56"/>
      <c r="V53" s="56"/>
      <c r="W53" s="56"/>
      <c r="X53" s="56"/>
      <c r="Y53" s="146"/>
      <c r="Z53" s="55"/>
      <c r="AA53" s="55"/>
      <c r="AB53" s="56"/>
      <c r="AC53" s="60"/>
    </row>
    <row r="54" spans="1:29" s="19" customFormat="1" ht="23.25" customHeight="1" x14ac:dyDescent="0.25">
      <c r="A54" s="162"/>
      <c r="B54" s="55"/>
      <c r="C54" s="55"/>
      <c r="D54" s="55">
        <v>341</v>
      </c>
      <c r="E54" s="55">
        <v>6754</v>
      </c>
      <c r="F54" s="163" t="s">
        <v>260</v>
      </c>
      <c r="G54" s="44"/>
      <c r="H54" s="161"/>
      <c r="I54" s="47"/>
      <c r="J54" s="47"/>
      <c r="K54" s="143"/>
      <c r="L54" s="143"/>
      <c r="M54" s="143"/>
      <c r="N54" s="143"/>
      <c r="O54" s="165"/>
      <c r="P54" s="165"/>
      <c r="Q54" s="165"/>
      <c r="R54" s="56"/>
      <c r="S54" s="326">
        <f>5159376+8264916</f>
        <v>13424292</v>
      </c>
      <c r="T54" s="56">
        <f>S54</f>
        <v>13424292</v>
      </c>
      <c r="U54" s="56"/>
      <c r="V54" s="56"/>
      <c r="W54" s="56"/>
      <c r="X54" s="56"/>
      <c r="Y54" s="146"/>
      <c r="Z54" s="55"/>
      <c r="AA54" s="55"/>
      <c r="AB54" s="56"/>
      <c r="AC54" s="60"/>
    </row>
    <row r="55" spans="1:29" s="19" customFormat="1" ht="18.75" customHeight="1" x14ac:dyDescent="0.25">
      <c r="A55" s="162"/>
      <c r="B55" s="55"/>
      <c r="C55" s="55"/>
      <c r="D55" s="55">
        <v>341</v>
      </c>
      <c r="E55" s="55">
        <v>6105</v>
      </c>
      <c r="F55" s="163" t="s">
        <v>268</v>
      </c>
      <c r="G55" s="44"/>
      <c r="H55" s="161"/>
      <c r="I55" s="47"/>
      <c r="J55" s="47"/>
      <c r="K55" s="143"/>
      <c r="L55" s="143"/>
      <c r="M55" s="143"/>
      <c r="N55" s="143"/>
      <c r="O55" s="165"/>
      <c r="P55" s="165"/>
      <c r="Q55" s="165"/>
      <c r="R55" s="56"/>
      <c r="S55" s="326">
        <v>6255114</v>
      </c>
      <c r="T55" s="56">
        <f>S55</f>
        <v>6255114</v>
      </c>
      <c r="U55" s="56"/>
      <c r="V55" s="56"/>
      <c r="W55" s="56"/>
      <c r="X55" s="56"/>
      <c r="Y55" s="146"/>
      <c r="Z55" s="55"/>
      <c r="AA55" s="55"/>
      <c r="AB55" s="56"/>
      <c r="AC55" s="60"/>
    </row>
    <row r="56" spans="1:29" s="24" customFormat="1" ht="18.75" customHeight="1" x14ac:dyDescent="0.25">
      <c r="A56" s="160"/>
      <c r="B56" s="267"/>
      <c r="C56" s="267"/>
      <c r="D56" s="267">
        <v>341</v>
      </c>
      <c r="E56" s="267"/>
      <c r="F56" s="44" t="s">
        <v>81</v>
      </c>
      <c r="G56" s="44">
        <f t="shared" si="3"/>
        <v>80000000</v>
      </c>
      <c r="H56" s="44"/>
      <c r="I56" s="45">
        <f>J56+R56</f>
        <v>80000000</v>
      </c>
      <c r="J56" s="45">
        <f>SUM(K56:P56)</f>
        <v>80000000</v>
      </c>
      <c r="K56" s="147">
        <f>K57</f>
        <v>0</v>
      </c>
      <c r="L56" s="147">
        <f>L57+L58</f>
        <v>72000000</v>
      </c>
      <c r="M56" s="147">
        <f>M57+M58</f>
        <v>0</v>
      </c>
      <c r="N56" s="147">
        <f>N57+N58</f>
        <v>8000000</v>
      </c>
      <c r="O56" s="167"/>
      <c r="P56" s="168"/>
      <c r="Q56" s="168"/>
      <c r="R56" s="43"/>
      <c r="S56" s="43"/>
      <c r="T56" s="169"/>
      <c r="U56" s="43"/>
      <c r="V56" s="43"/>
      <c r="W56" s="43"/>
      <c r="X56" s="43">
        <f>I56-S56</f>
        <v>80000000</v>
      </c>
      <c r="Y56" s="267"/>
      <c r="Z56" s="150">
        <f>X56-AB56</f>
        <v>72000000</v>
      </c>
      <c r="AA56" s="267"/>
      <c r="AB56" s="43">
        <f>N56</f>
        <v>8000000</v>
      </c>
      <c r="AC56" s="59"/>
    </row>
    <row r="57" spans="1:29" s="19" customFormat="1" ht="12.75" customHeight="1" x14ac:dyDescent="0.25">
      <c r="A57" s="55"/>
      <c r="B57" s="55"/>
      <c r="C57" s="55"/>
      <c r="D57" s="55">
        <v>341</v>
      </c>
      <c r="E57" s="55"/>
      <c r="F57" s="161" t="s">
        <v>8</v>
      </c>
      <c r="G57" s="46">
        <f t="shared" si="3"/>
        <v>50000000</v>
      </c>
      <c r="H57" s="161"/>
      <c r="I57" s="47">
        <f>J57+R57</f>
        <v>50000000</v>
      </c>
      <c r="J57" s="47">
        <f>SUM(K57:P57)</f>
        <v>50000000</v>
      </c>
      <c r="K57" s="143"/>
      <c r="L57" s="143">
        <f>50000000-N57</f>
        <v>45000000</v>
      </c>
      <c r="M57" s="143"/>
      <c r="N57" s="143">
        <v>5000000</v>
      </c>
      <c r="O57" s="165"/>
      <c r="P57" s="165"/>
      <c r="Q57" s="165"/>
      <c r="R57" s="56"/>
      <c r="S57" s="56"/>
      <c r="T57" s="144"/>
      <c r="U57" s="56"/>
      <c r="V57" s="56"/>
      <c r="W57" s="56"/>
      <c r="X57" s="56">
        <f>I57</f>
        <v>50000000</v>
      </c>
      <c r="Y57" s="55"/>
      <c r="Z57" s="258">
        <f>L57</f>
        <v>45000000</v>
      </c>
      <c r="AA57" s="55"/>
      <c r="AB57" s="56">
        <f>N57</f>
        <v>5000000</v>
      </c>
      <c r="AC57" s="60"/>
    </row>
    <row r="58" spans="1:29" s="19" customFormat="1" ht="16.5" customHeight="1" x14ac:dyDescent="0.25">
      <c r="A58" s="55"/>
      <c r="B58" s="55"/>
      <c r="C58" s="55"/>
      <c r="D58" s="55">
        <v>341</v>
      </c>
      <c r="E58" s="55"/>
      <c r="F58" s="46" t="s">
        <v>82</v>
      </c>
      <c r="G58" s="46">
        <f t="shared" si="3"/>
        <v>30000000</v>
      </c>
      <c r="H58" s="46"/>
      <c r="I58" s="47">
        <f>J58+R58</f>
        <v>30000000</v>
      </c>
      <c r="J58" s="47">
        <f>SUM(K58:P58)</f>
        <v>30000000</v>
      </c>
      <c r="K58" s="143"/>
      <c r="L58" s="143">
        <v>27000000</v>
      </c>
      <c r="M58" s="143"/>
      <c r="N58" s="143">
        <v>3000000</v>
      </c>
      <c r="O58" s="170"/>
      <c r="P58" s="158"/>
      <c r="Q58" s="158"/>
      <c r="R58" s="56"/>
      <c r="S58" s="56"/>
      <c r="T58" s="144"/>
      <c r="U58" s="56"/>
      <c r="V58" s="56"/>
      <c r="W58" s="56"/>
      <c r="X58" s="56">
        <f>I58</f>
        <v>30000000</v>
      </c>
      <c r="Y58" s="55"/>
      <c r="Z58" s="258">
        <f>L58</f>
        <v>27000000</v>
      </c>
      <c r="AA58" s="55"/>
      <c r="AB58" s="56">
        <f>N58</f>
        <v>3000000</v>
      </c>
      <c r="AC58" s="60"/>
    </row>
    <row r="59" spans="1:29" s="24" customFormat="1" ht="15.75" customHeight="1" x14ac:dyDescent="0.25">
      <c r="A59" s="267">
        <v>10</v>
      </c>
      <c r="B59" s="267">
        <v>831</v>
      </c>
      <c r="C59" s="267">
        <v>370</v>
      </c>
      <c r="D59" s="267">
        <v>398</v>
      </c>
      <c r="E59" s="267"/>
      <c r="F59" s="44" t="s">
        <v>59</v>
      </c>
      <c r="G59" s="44">
        <f t="shared" si="3"/>
        <v>32000000</v>
      </c>
      <c r="H59" s="44"/>
      <c r="I59" s="45">
        <f>SUM(I60:I61)</f>
        <v>32000000</v>
      </c>
      <c r="J59" s="45">
        <f t="shared" ref="J59:AB59" si="14">SUM(J60:J61)</f>
        <v>20000000</v>
      </c>
      <c r="K59" s="45">
        <f t="shared" si="14"/>
        <v>0</v>
      </c>
      <c r="L59" s="45">
        <f>SUM(L60:L61)</f>
        <v>20000000</v>
      </c>
      <c r="M59" s="45">
        <f t="shared" si="14"/>
        <v>0</v>
      </c>
      <c r="N59" s="45">
        <f t="shared" si="14"/>
        <v>0</v>
      </c>
      <c r="O59" s="45">
        <f t="shared" si="14"/>
        <v>0</v>
      </c>
      <c r="P59" s="45">
        <f t="shared" si="14"/>
        <v>0</v>
      </c>
      <c r="Q59" s="45"/>
      <c r="R59" s="45">
        <f t="shared" si="14"/>
        <v>12000000</v>
      </c>
      <c r="S59" s="45">
        <f t="shared" si="14"/>
        <v>12000000</v>
      </c>
      <c r="T59" s="45">
        <f t="shared" si="14"/>
        <v>0</v>
      </c>
      <c r="U59" s="45">
        <f t="shared" si="14"/>
        <v>12000000</v>
      </c>
      <c r="V59" s="45">
        <f t="shared" si="14"/>
        <v>0</v>
      </c>
      <c r="W59" s="45">
        <f t="shared" si="14"/>
        <v>0</v>
      </c>
      <c r="X59" s="45">
        <f t="shared" si="14"/>
        <v>20000000</v>
      </c>
      <c r="Y59" s="45">
        <f t="shared" si="14"/>
        <v>0</v>
      </c>
      <c r="Z59" s="45">
        <f t="shared" si="14"/>
        <v>20000000</v>
      </c>
      <c r="AA59" s="45">
        <f t="shared" si="14"/>
        <v>0</v>
      </c>
      <c r="AB59" s="45">
        <f t="shared" si="14"/>
        <v>0</v>
      </c>
      <c r="AC59" s="59"/>
    </row>
    <row r="60" spans="1:29" s="19" customFormat="1" ht="33.75" customHeight="1" x14ac:dyDescent="0.25">
      <c r="A60" s="55"/>
      <c r="B60" s="55"/>
      <c r="C60" s="55"/>
      <c r="D60" s="55">
        <v>398</v>
      </c>
      <c r="E60" s="55"/>
      <c r="F60" s="46" t="s">
        <v>83</v>
      </c>
      <c r="G60" s="46">
        <f t="shared" si="3"/>
        <v>20000000</v>
      </c>
      <c r="H60" s="46"/>
      <c r="I60" s="47">
        <f>J60+R60</f>
        <v>20000000</v>
      </c>
      <c r="J60" s="47">
        <f>SUM(K60:P60)</f>
        <v>20000000</v>
      </c>
      <c r="K60" s="49"/>
      <c r="L60" s="49">
        <v>20000000</v>
      </c>
      <c r="M60" s="49"/>
      <c r="N60" s="49"/>
      <c r="O60" s="56"/>
      <c r="P60" s="56"/>
      <c r="Q60" s="56"/>
      <c r="R60" s="56"/>
      <c r="S60" s="56">
        <f>0</f>
        <v>0</v>
      </c>
      <c r="T60" s="144"/>
      <c r="U60" s="56"/>
      <c r="V60" s="56"/>
      <c r="W60" s="56"/>
      <c r="X60" s="56">
        <f>I60</f>
        <v>20000000</v>
      </c>
      <c r="Y60" s="55"/>
      <c r="Z60" s="146">
        <f>X60</f>
        <v>20000000</v>
      </c>
      <c r="AA60" s="55"/>
      <c r="AB60" s="56"/>
      <c r="AC60" s="60"/>
    </row>
    <row r="61" spans="1:29" s="24" customFormat="1" ht="31.5" customHeight="1" x14ac:dyDescent="0.25">
      <c r="A61" s="267">
        <v>11</v>
      </c>
      <c r="B61" s="267">
        <v>831</v>
      </c>
      <c r="C61" s="267">
        <v>370</v>
      </c>
      <c r="D61" s="267">
        <v>398</v>
      </c>
      <c r="E61" s="267"/>
      <c r="F61" s="50" t="s">
        <v>274</v>
      </c>
      <c r="G61" s="44">
        <f t="shared" si="3"/>
        <v>12000000</v>
      </c>
      <c r="H61" s="50"/>
      <c r="I61" s="45">
        <f>J61+R61</f>
        <v>12000000</v>
      </c>
      <c r="J61" s="45">
        <f>SUM(K61:P61)</f>
        <v>0</v>
      </c>
      <c r="K61" s="45"/>
      <c r="L61" s="45"/>
      <c r="M61" s="45"/>
      <c r="N61" s="43"/>
      <c r="O61" s="43"/>
      <c r="P61" s="43"/>
      <c r="Q61" s="43"/>
      <c r="R61" s="43">
        <v>12000000</v>
      </c>
      <c r="S61" s="43">
        <f>R61</f>
        <v>12000000</v>
      </c>
      <c r="T61" s="169"/>
      <c r="U61" s="43">
        <f>S61</f>
        <v>12000000</v>
      </c>
      <c r="V61" s="43"/>
      <c r="W61" s="43"/>
      <c r="X61" s="43">
        <f>I61-S61</f>
        <v>0</v>
      </c>
      <c r="Y61" s="267"/>
      <c r="Z61" s="267"/>
      <c r="AA61" s="267"/>
      <c r="AB61" s="43"/>
      <c r="AC61" s="42"/>
    </row>
    <row r="62" spans="1:29" s="19" customFormat="1" ht="23.25" customHeight="1" x14ac:dyDescent="0.25">
      <c r="A62" s="55"/>
      <c r="B62" s="55"/>
      <c r="C62" s="55"/>
      <c r="D62" s="55">
        <v>398</v>
      </c>
      <c r="E62" s="55">
        <v>7499</v>
      </c>
      <c r="F62" s="48" t="s">
        <v>209</v>
      </c>
      <c r="G62" s="44"/>
      <c r="H62" s="48"/>
      <c r="I62" s="47"/>
      <c r="J62" s="47"/>
      <c r="K62" s="47"/>
      <c r="L62" s="47"/>
      <c r="M62" s="47"/>
      <c r="N62" s="56"/>
      <c r="O62" s="56"/>
      <c r="P62" s="56"/>
      <c r="Q62" s="56"/>
      <c r="R62" s="56"/>
      <c r="S62" s="56">
        <v>12000000</v>
      </c>
      <c r="T62" s="144"/>
      <c r="U62" s="56">
        <f>S62</f>
        <v>12000000</v>
      </c>
      <c r="V62" s="56"/>
      <c r="W62" s="56"/>
      <c r="X62" s="56"/>
      <c r="Y62" s="55"/>
      <c r="Z62" s="55"/>
      <c r="AA62" s="55"/>
      <c r="AB62" s="56"/>
      <c r="AC62" s="67"/>
    </row>
    <row r="63" spans="1:29" s="24" customFormat="1" ht="28.5" customHeight="1" x14ac:dyDescent="0.25">
      <c r="A63" s="267">
        <v>12</v>
      </c>
      <c r="B63" s="267">
        <v>831</v>
      </c>
      <c r="C63" s="267">
        <v>280</v>
      </c>
      <c r="D63" s="267">
        <v>281</v>
      </c>
      <c r="E63" s="267"/>
      <c r="F63" s="50" t="s">
        <v>108</v>
      </c>
      <c r="G63" s="44">
        <f t="shared" si="3"/>
        <v>62460000</v>
      </c>
      <c r="H63" s="50"/>
      <c r="I63" s="45">
        <f>J63+R63</f>
        <v>62460000</v>
      </c>
      <c r="J63" s="45">
        <f>SUM(K63:P63)</f>
        <v>0</v>
      </c>
      <c r="K63" s="45"/>
      <c r="L63" s="45"/>
      <c r="M63" s="45"/>
      <c r="N63" s="43"/>
      <c r="O63" s="43"/>
      <c r="P63" s="43"/>
      <c r="Q63" s="43"/>
      <c r="R63" s="43">
        <v>62460000</v>
      </c>
      <c r="S63" s="43">
        <v>62460000</v>
      </c>
      <c r="T63" s="169"/>
      <c r="U63" s="43">
        <f>S63</f>
        <v>62460000</v>
      </c>
      <c r="V63" s="43"/>
      <c r="W63" s="43"/>
      <c r="X63" s="43">
        <f>I63-S63</f>
        <v>0</v>
      </c>
      <c r="Y63" s="267"/>
      <c r="Z63" s="267"/>
      <c r="AA63" s="267"/>
      <c r="AB63" s="43"/>
      <c r="AC63" s="42"/>
    </row>
    <row r="64" spans="1:29" s="19" customFormat="1" ht="18" customHeight="1" x14ac:dyDescent="0.25">
      <c r="A64" s="55"/>
      <c r="B64" s="55"/>
      <c r="C64" s="55"/>
      <c r="D64" s="55">
        <v>281</v>
      </c>
      <c r="E64" s="55">
        <v>7799</v>
      </c>
      <c r="F64" s="48" t="s">
        <v>140</v>
      </c>
      <c r="G64" s="44"/>
      <c r="H64" s="48"/>
      <c r="I64" s="47"/>
      <c r="J64" s="47"/>
      <c r="K64" s="47"/>
      <c r="L64" s="47"/>
      <c r="M64" s="47"/>
      <c r="N64" s="56"/>
      <c r="O64" s="56"/>
      <c r="P64" s="56"/>
      <c r="Q64" s="56"/>
      <c r="R64" s="56"/>
      <c r="S64" s="56">
        <f>U64</f>
        <v>62460000</v>
      </c>
      <c r="T64" s="144"/>
      <c r="U64" s="56">
        <f>U63</f>
        <v>62460000</v>
      </c>
      <c r="V64" s="56"/>
      <c r="W64" s="56"/>
      <c r="X64" s="56"/>
      <c r="Y64" s="55"/>
      <c r="Z64" s="55"/>
      <c r="AA64" s="55"/>
      <c r="AB64" s="56"/>
      <c r="AC64" s="67"/>
    </row>
    <row r="65" spans="1:29" s="25" customFormat="1" ht="24.75" customHeight="1" x14ac:dyDescent="0.25">
      <c r="A65" s="120">
        <v>13</v>
      </c>
      <c r="B65" s="61">
        <v>831</v>
      </c>
      <c r="C65" s="61">
        <v>340</v>
      </c>
      <c r="D65" s="61">
        <v>341</v>
      </c>
      <c r="E65" s="61"/>
      <c r="F65" s="171" t="s">
        <v>17</v>
      </c>
      <c r="G65" s="44">
        <f t="shared" si="3"/>
        <v>34000000</v>
      </c>
      <c r="H65" s="171"/>
      <c r="I65" s="45">
        <f>J65+R65</f>
        <v>34000000</v>
      </c>
      <c r="J65" s="45">
        <f>SUM(K65:P65)</f>
        <v>0</v>
      </c>
      <c r="K65" s="61"/>
      <c r="L65" s="61"/>
      <c r="M65" s="61"/>
      <c r="N65" s="61"/>
      <c r="O65" s="61"/>
      <c r="P65" s="61"/>
      <c r="Q65" s="61"/>
      <c r="R65" s="172">
        <v>34000000</v>
      </c>
      <c r="S65" s="172">
        <f>SUM(S66:S67)</f>
        <v>33892000</v>
      </c>
      <c r="T65" s="172"/>
      <c r="U65" s="172">
        <f>SUM(U66:U67)</f>
        <v>33892000</v>
      </c>
      <c r="V65" s="172"/>
      <c r="W65" s="172"/>
      <c r="X65" s="172">
        <f>I65-S65</f>
        <v>108000</v>
      </c>
      <c r="Y65" s="61"/>
      <c r="Z65" s="62">
        <f>X65</f>
        <v>108000</v>
      </c>
      <c r="AA65" s="61"/>
      <c r="AB65" s="61"/>
      <c r="AC65" s="173"/>
    </row>
    <row r="66" spans="1:29" s="183" customFormat="1" ht="22.5" customHeight="1" x14ac:dyDescent="0.25">
      <c r="A66" s="174"/>
      <c r="B66" s="58"/>
      <c r="C66" s="58"/>
      <c r="D66" s="63">
        <v>341</v>
      </c>
      <c r="E66" s="63">
        <v>6606</v>
      </c>
      <c r="F66" s="57" t="s">
        <v>154</v>
      </c>
      <c r="G66" s="44"/>
      <c r="H66" s="57"/>
      <c r="I66" s="47"/>
      <c r="J66" s="47"/>
      <c r="K66" s="58"/>
      <c r="L66" s="58"/>
      <c r="M66" s="58"/>
      <c r="N66" s="58"/>
      <c r="O66" s="58"/>
      <c r="P66" s="58"/>
      <c r="Q66" s="58"/>
      <c r="R66" s="175"/>
      <c r="S66" s="175">
        <v>16000000</v>
      </c>
      <c r="T66" s="175"/>
      <c r="U66" s="175">
        <f>S66</f>
        <v>16000000</v>
      </c>
      <c r="V66" s="175"/>
      <c r="W66" s="175"/>
      <c r="X66" s="175"/>
      <c r="Y66" s="58"/>
      <c r="Z66" s="176"/>
      <c r="AA66" s="58"/>
      <c r="AB66" s="58"/>
      <c r="AC66" s="177"/>
    </row>
    <row r="67" spans="1:29" s="183" customFormat="1" ht="24.75" customHeight="1" x14ac:dyDescent="0.25">
      <c r="A67" s="174"/>
      <c r="B67" s="58"/>
      <c r="C67" s="58"/>
      <c r="D67" s="63">
        <v>341</v>
      </c>
      <c r="E67" s="63">
        <v>6751</v>
      </c>
      <c r="F67" s="57" t="s">
        <v>164</v>
      </c>
      <c r="G67" s="44"/>
      <c r="H67" s="57"/>
      <c r="I67" s="47"/>
      <c r="J67" s="47"/>
      <c r="K67" s="58"/>
      <c r="L67" s="58"/>
      <c r="M67" s="58"/>
      <c r="N67" s="58"/>
      <c r="O67" s="58"/>
      <c r="P67" s="58"/>
      <c r="Q67" s="58"/>
      <c r="R67" s="175"/>
      <c r="S67" s="64">
        <v>17892000</v>
      </c>
      <c r="T67" s="175"/>
      <c r="U67" s="175">
        <f>S67</f>
        <v>17892000</v>
      </c>
      <c r="V67" s="175"/>
      <c r="W67" s="175"/>
      <c r="X67" s="175"/>
      <c r="Y67" s="58"/>
      <c r="Z67" s="176"/>
      <c r="AA67" s="58"/>
      <c r="AB67" s="58"/>
      <c r="AC67" s="177"/>
    </row>
    <row r="68" spans="1:29" s="184" customFormat="1" ht="27" customHeight="1" x14ac:dyDescent="0.25">
      <c r="A68" s="178">
        <v>14</v>
      </c>
      <c r="B68" s="61">
        <v>831</v>
      </c>
      <c r="C68" s="61">
        <v>340</v>
      </c>
      <c r="D68" s="61">
        <v>341</v>
      </c>
      <c r="E68" s="61"/>
      <c r="F68" s="171" t="s">
        <v>123</v>
      </c>
      <c r="G68" s="44">
        <f t="shared" si="3"/>
        <v>98988800</v>
      </c>
      <c r="H68" s="171"/>
      <c r="I68" s="45">
        <f>J68+R68</f>
        <v>98988800</v>
      </c>
      <c r="J68" s="45">
        <f>SUM(K68:P68)</f>
        <v>0</v>
      </c>
      <c r="K68" s="179"/>
      <c r="L68" s="179"/>
      <c r="M68" s="179"/>
      <c r="N68" s="179"/>
      <c r="O68" s="179"/>
      <c r="P68" s="179"/>
      <c r="Q68" s="179"/>
      <c r="R68" s="180">
        <v>98988800</v>
      </c>
      <c r="S68" s="180">
        <f>SUM(S69:S74)</f>
        <v>98786479</v>
      </c>
      <c r="T68" s="180"/>
      <c r="U68" s="180">
        <f>SUM(U69:U74)</f>
        <v>98786479</v>
      </c>
      <c r="V68" s="180"/>
      <c r="W68" s="180"/>
      <c r="X68" s="180">
        <f>I68-S68</f>
        <v>202321</v>
      </c>
      <c r="Y68" s="179"/>
      <c r="Z68" s="260">
        <f>X68</f>
        <v>202321</v>
      </c>
      <c r="AA68" s="179"/>
      <c r="AB68" s="179"/>
      <c r="AC68" s="181"/>
    </row>
    <row r="69" spans="1:29" s="22" customFormat="1" ht="28.5" customHeight="1" x14ac:dyDescent="0.25">
      <c r="A69" s="121"/>
      <c r="B69" s="58"/>
      <c r="C69" s="58"/>
      <c r="D69" s="63">
        <v>341</v>
      </c>
      <c r="E69" s="63">
        <v>6606</v>
      </c>
      <c r="F69" s="57" t="s">
        <v>156</v>
      </c>
      <c r="G69" s="44"/>
      <c r="H69" s="57"/>
      <c r="I69" s="47"/>
      <c r="J69" s="47"/>
      <c r="K69" s="65"/>
      <c r="L69" s="65"/>
      <c r="M69" s="65"/>
      <c r="N69" s="65"/>
      <c r="O69" s="65"/>
      <c r="P69" s="65"/>
      <c r="Q69" s="65"/>
      <c r="R69" s="64"/>
      <c r="S69" s="64">
        <v>47174400</v>
      </c>
      <c r="T69" s="64"/>
      <c r="U69" s="64">
        <f>S69</f>
        <v>47174400</v>
      </c>
      <c r="V69" s="64"/>
      <c r="W69" s="64"/>
      <c r="X69" s="64"/>
      <c r="Y69" s="65"/>
      <c r="Z69" s="182"/>
      <c r="AA69" s="65"/>
      <c r="AB69" s="65"/>
      <c r="AC69" s="68"/>
    </row>
    <row r="70" spans="1:29" s="22" customFormat="1" ht="25.5" customHeight="1" x14ac:dyDescent="0.25">
      <c r="A70" s="121"/>
      <c r="B70" s="58"/>
      <c r="C70" s="58"/>
      <c r="D70" s="63">
        <v>341</v>
      </c>
      <c r="E70" s="63">
        <v>6606</v>
      </c>
      <c r="F70" s="57" t="s">
        <v>157</v>
      </c>
      <c r="G70" s="44"/>
      <c r="H70" s="57"/>
      <c r="I70" s="47"/>
      <c r="J70" s="47"/>
      <c r="K70" s="65"/>
      <c r="L70" s="65"/>
      <c r="M70" s="65"/>
      <c r="N70" s="65"/>
      <c r="O70" s="65"/>
      <c r="P70" s="65"/>
      <c r="Q70" s="65"/>
      <c r="R70" s="64"/>
      <c r="S70" s="64">
        <f>U70</f>
        <v>4200000</v>
      </c>
      <c r="T70" s="64"/>
      <c r="U70" s="64">
        <v>4200000</v>
      </c>
      <c r="V70" s="64"/>
      <c r="W70" s="64"/>
      <c r="X70" s="64"/>
      <c r="Y70" s="65"/>
      <c r="Z70" s="182"/>
      <c r="AA70" s="65"/>
      <c r="AB70" s="65"/>
      <c r="AC70" s="68"/>
    </row>
    <row r="71" spans="1:29" s="22" customFormat="1" ht="24" customHeight="1" x14ac:dyDescent="0.25">
      <c r="A71" s="121"/>
      <c r="B71" s="58"/>
      <c r="C71" s="58"/>
      <c r="D71" s="63">
        <v>341</v>
      </c>
      <c r="E71" s="63">
        <v>6751</v>
      </c>
      <c r="F71" s="57" t="s">
        <v>167</v>
      </c>
      <c r="G71" s="44"/>
      <c r="H71" s="57"/>
      <c r="I71" s="47"/>
      <c r="J71" s="47"/>
      <c r="K71" s="65"/>
      <c r="L71" s="65"/>
      <c r="M71" s="65"/>
      <c r="N71" s="65"/>
      <c r="O71" s="65"/>
      <c r="P71" s="65"/>
      <c r="Q71" s="65"/>
      <c r="R71" s="64"/>
      <c r="S71" s="64">
        <v>12998880</v>
      </c>
      <c r="T71" s="64"/>
      <c r="U71" s="64">
        <f>S71</f>
        <v>12998880</v>
      </c>
      <c r="V71" s="64"/>
      <c r="W71" s="64"/>
      <c r="X71" s="64"/>
      <c r="Y71" s="65"/>
      <c r="Z71" s="182"/>
      <c r="AA71" s="65"/>
      <c r="AB71" s="65"/>
      <c r="AC71" s="68"/>
    </row>
    <row r="72" spans="1:29" s="22" customFormat="1" ht="27.75" customHeight="1" x14ac:dyDescent="0.25">
      <c r="A72" s="121"/>
      <c r="B72" s="58"/>
      <c r="C72" s="58"/>
      <c r="D72" s="63">
        <v>341</v>
      </c>
      <c r="E72" s="63">
        <v>6751</v>
      </c>
      <c r="F72" s="57" t="s">
        <v>166</v>
      </c>
      <c r="G72" s="44"/>
      <c r="H72" s="57"/>
      <c r="I72" s="47"/>
      <c r="J72" s="47"/>
      <c r="K72" s="65"/>
      <c r="L72" s="65"/>
      <c r="M72" s="65"/>
      <c r="N72" s="65"/>
      <c r="O72" s="65"/>
      <c r="P72" s="65"/>
      <c r="Q72" s="65"/>
      <c r="R72" s="64"/>
      <c r="S72" s="64">
        <v>17600000</v>
      </c>
      <c r="T72" s="64"/>
      <c r="U72" s="64">
        <f>S72</f>
        <v>17600000</v>
      </c>
      <c r="V72" s="64"/>
      <c r="W72" s="64"/>
      <c r="X72" s="64"/>
      <c r="Y72" s="65"/>
      <c r="Z72" s="182"/>
      <c r="AA72" s="65"/>
      <c r="AB72" s="65"/>
      <c r="AC72" s="68"/>
    </row>
    <row r="73" spans="1:29" s="22" customFormat="1" ht="23.25" customHeight="1" x14ac:dyDescent="0.25">
      <c r="A73" s="121"/>
      <c r="B73" s="58"/>
      <c r="C73" s="58"/>
      <c r="D73" s="63">
        <v>341</v>
      </c>
      <c r="E73" s="63">
        <v>6799</v>
      </c>
      <c r="F73" s="57" t="s">
        <v>171</v>
      </c>
      <c r="G73" s="44"/>
      <c r="H73" s="57"/>
      <c r="I73" s="47"/>
      <c r="J73" s="47"/>
      <c r="K73" s="65"/>
      <c r="L73" s="65"/>
      <c r="M73" s="65"/>
      <c r="N73" s="65"/>
      <c r="O73" s="65"/>
      <c r="P73" s="65"/>
      <c r="Q73" s="65"/>
      <c r="R73" s="64"/>
      <c r="S73" s="64">
        <v>10800000</v>
      </c>
      <c r="T73" s="64"/>
      <c r="U73" s="64">
        <f>S73</f>
        <v>10800000</v>
      </c>
      <c r="V73" s="64"/>
      <c r="W73" s="64"/>
      <c r="X73" s="64"/>
      <c r="Y73" s="65"/>
      <c r="Z73" s="182"/>
      <c r="AA73" s="65"/>
      <c r="AB73" s="65"/>
      <c r="AC73" s="68"/>
    </row>
    <row r="74" spans="1:29" s="22" customFormat="1" ht="31.5" customHeight="1" x14ac:dyDescent="0.25">
      <c r="A74" s="121"/>
      <c r="B74" s="58"/>
      <c r="C74" s="58"/>
      <c r="D74" s="63">
        <v>341</v>
      </c>
      <c r="E74" s="63">
        <v>7001</v>
      </c>
      <c r="F74" s="57" t="s">
        <v>177</v>
      </c>
      <c r="G74" s="44"/>
      <c r="H74" s="57"/>
      <c r="I74" s="47"/>
      <c r="J74" s="47"/>
      <c r="K74" s="65"/>
      <c r="L74" s="65"/>
      <c r="M74" s="65"/>
      <c r="N74" s="65"/>
      <c r="O74" s="65"/>
      <c r="P74" s="65"/>
      <c r="Q74" s="65"/>
      <c r="R74" s="64"/>
      <c r="S74" s="64">
        <v>6013199</v>
      </c>
      <c r="T74" s="64"/>
      <c r="U74" s="64">
        <f>S74</f>
        <v>6013199</v>
      </c>
      <c r="V74" s="64"/>
      <c r="W74" s="64"/>
      <c r="X74" s="64"/>
      <c r="Y74" s="65"/>
      <c r="Z74" s="182"/>
      <c r="AA74" s="65"/>
      <c r="AB74" s="65"/>
      <c r="AC74" s="68"/>
    </row>
    <row r="75" spans="1:29" s="184" customFormat="1" ht="24" customHeight="1" x14ac:dyDescent="0.25">
      <c r="A75" s="178">
        <v>15</v>
      </c>
      <c r="B75" s="61">
        <v>831</v>
      </c>
      <c r="C75" s="61">
        <v>340</v>
      </c>
      <c r="D75" s="61">
        <v>341</v>
      </c>
      <c r="E75" s="61"/>
      <c r="F75" s="171" t="s">
        <v>124</v>
      </c>
      <c r="G75" s="44">
        <f>H75+I75</f>
        <v>51390400</v>
      </c>
      <c r="H75" s="171"/>
      <c r="I75" s="45">
        <f>J75+R75</f>
        <v>51390400</v>
      </c>
      <c r="J75" s="45">
        <f>SUM(K75:P75)</f>
        <v>0</v>
      </c>
      <c r="K75" s="179"/>
      <c r="L75" s="179"/>
      <c r="M75" s="179"/>
      <c r="N75" s="179"/>
      <c r="O75" s="179"/>
      <c r="P75" s="179"/>
      <c r="Q75" s="179"/>
      <c r="R75" s="180">
        <v>51390400</v>
      </c>
      <c r="S75" s="180">
        <f>SUM(S76:S77)</f>
        <v>51382400</v>
      </c>
      <c r="T75" s="180">
        <f>SUM(T76:T77)</f>
        <v>0</v>
      </c>
      <c r="U75" s="180">
        <f>SUM(U76:U77)</f>
        <v>51382400</v>
      </c>
      <c r="V75" s="180"/>
      <c r="W75" s="180"/>
      <c r="X75" s="180">
        <f>I75-S75</f>
        <v>8000</v>
      </c>
      <c r="Y75" s="179"/>
      <c r="Z75" s="260">
        <f>X75</f>
        <v>8000</v>
      </c>
      <c r="AA75" s="179"/>
      <c r="AB75" s="179"/>
      <c r="AC75" s="181"/>
    </row>
    <row r="76" spans="1:29" s="22" customFormat="1" ht="28.5" customHeight="1" x14ac:dyDescent="0.25">
      <c r="A76" s="121"/>
      <c r="B76" s="58"/>
      <c r="C76" s="58"/>
      <c r="D76" s="63">
        <v>341</v>
      </c>
      <c r="E76" s="63">
        <v>6606</v>
      </c>
      <c r="F76" s="57" t="s">
        <v>155</v>
      </c>
      <c r="G76" s="44"/>
      <c r="H76" s="57"/>
      <c r="I76" s="47"/>
      <c r="J76" s="47"/>
      <c r="K76" s="65"/>
      <c r="L76" s="65"/>
      <c r="M76" s="65"/>
      <c r="N76" s="65"/>
      <c r="O76" s="65"/>
      <c r="P76" s="65"/>
      <c r="Q76" s="65"/>
      <c r="R76" s="64"/>
      <c r="S76" s="64">
        <v>47390400</v>
      </c>
      <c r="T76" s="64"/>
      <c r="U76" s="64">
        <f>S76</f>
        <v>47390400</v>
      </c>
      <c r="V76" s="64"/>
      <c r="W76" s="64"/>
      <c r="X76" s="64"/>
      <c r="Y76" s="65"/>
      <c r="Z76" s="182"/>
      <c r="AA76" s="65"/>
      <c r="AB76" s="65"/>
      <c r="AC76" s="68"/>
    </row>
    <row r="77" spans="1:29" s="22" customFormat="1" ht="28.5" customHeight="1" x14ac:dyDescent="0.25">
      <c r="A77" s="121"/>
      <c r="B77" s="58"/>
      <c r="C77" s="58"/>
      <c r="D77" s="63">
        <v>341</v>
      </c>
      <c r="E77" s="63">
        <v>6751</v>
      </c>
      <c r="F77" s="57" t="s">
        <v>165</v>
      </c>
      <c r="G77" s="44"/>
      <c r="H77" s="57"/>
      <c r="I77" s="47"/>
      <c r="J77" s="47"/>
      <c r="K77" s="65"/>
      <c r="L77" s="65"/>
      <c r="M77" s="65"/>
      <c r="N77" s="65"/>
      <c r="O77" s="65"/>
      <c r="P77" s="65"/>
      <c r="Q77" s="65"/>
      <c r="R77" s="64"/>
      <c r="S77" s="64">
        <v>3992000</v>
      </c>
      <c r="T77" s="64"/>
      <c r="U77" s="64">
        <f>S77</f>
        <v>3992000</v>
      </c>
      <c r="V77" s="64"/>
      <c r="W77" s="64"/>
      <c r="X77" s="64"/>
      <c r="Y77" s="65"/>
      <c r="Z77" s="182"/>
      <c r="AA77" s="65"/>
      <c r="AB77" s="65"/>
      <c r="AC77" s="68"/>
    </row>
    <row r="78" spans="1:29" s="136" customFormat="1" ht="36.75" customHeight="1" x14ac:dyDescent="0.15">
      <c r="A78" s="120">
        <v>16</v>
      </c>
      <c r="B78" s="61">
        <v>831</v>
      </c>
      <c r="C78" s="61">
        <v>340</v>
      </c>
      <c r="D78" s="61">
        <v>341</v>
      </c>
      <c r="E78" s="61"/>
      <c r="F78" s="126" t="s">
        <v>273</v>
      </c>
      <c r="G78" s="44">
        <f>H78+I78</f>
        <v>9192690</v>
      </c>
      <c r="H78" s="135"/>
      <c r="I78" s="62">
        <f>Q78</f>
        <v>9192690</v>
      </c>
      <c r="J78" s="61"/>
      <c r="K78" s="61"/>
      <c r="L78" s="61"/>
      <c r="M78" s="61"/>
      <c r="N78" s="61"/>
      <c r="O78" s="61"/>
      <c r="P78" s="61"/>
      <c r="Q78" s="172">
        <v>9192690</v>
      </c>
      <c r="R78" s="61"/>
      <c r="S78" s="61"/>
      <c r="T78" s="61"/>
      <c r="U78" s="61"/>
      <c r="V78" s="61"/>
      <c r="W78" s="61"/>
      <c r="X78" s="62">
        <f>Q78</f>
        <v>9192690</v>
      </c>
      <c r="Y78" s="62">
        <f>X78</f>
        <v>9192690</v>
      </c>
      <c r="Z78" s="61"/>
      <c r="AA78" s="61"/>
      <c r="AB78" s="61"/>
    </row>
    <row r="79" spans="1:29" s="22" customFormat="1" x14ac:dyDescent="0.25">
      <c r="A79" s="123"/>
      <c r="B79" s="124"/>
      <c r="C79" s="124"/>
      <c r="D79" s="124"/>
      <c r="E79" s="124"/>
      <c r="F79" s="125"/>
      <c r="G79" s="125"/>
      <c r="H79" s="125"/>
      <c r="I79" s="124"/>
      <c r="J79" s="124"/>
      <c r="K79" s="124"/>
      <c r="L79" s="124"/>
      <c r="M79" s="124"/>
      <c r="N79" s="124"/>
      <c r="O79" s="124"/>
      <c r="P79" s="124"/>
      <c r="Q79" s="124"/>
      <c r="R79" s="124"/>
      <c r="S79" s="124"/>
      <c r="T79" s="124"/>
      <c r="U79" s="124"/>
      <c r="V79" s="124"/>
      <c r="W79" s="124"/>
      <c r="X79" s="124"/>
      <c r="Y79" s="124"/>
      <c r="Z79" s="124"/>
      <c r="AA79" s="124"/>
      <c r="AB79" s="124"/>
      <c r="AC79" s="20"/>
    </row>
    <row r="80" spans="1:29" s="22" customFormat="1" x14ac:dyDescent="0.25">
      <c r="A80" s="122"/>
      <c r="B80" s="20"/>
      <c r="C80" s="20"/>
      <c r="D80" s="20"/>
      <c r="E80" s="20"/>
      <c r="F80" s="21"/>
      <c r="G80" s="21"/>
      <c r="H80" s="21"/>
      <c r="I80" s="20"/>
      <c r="J80" s="20"/>
      <c r="K80" s="20"/>
      <c r="L80" s="20"/>
      <c r="M80" s="20"/>
      <c r="N80" s="20"/>
      <c r="O80" s="20"/>
      <c r="P80" s="20"/>
      <c r="Q80" s="20"/>
      <c r="R80" s="20"/>
      <c r="S80" s="26">
        <f>S11+S63</f>
        <v>194810000</v>
      </c>
      <c r="T80" s="20"/>
      <c r="U80" s="20"/>
      <c r="V80" s="20"/>
      <c r="W80" s="20"/>
      <c r="X80" s="20"/>
      <c r="Y80" s="20">
        <v>236897520</v>
      </c>
      <c r="Z80" s="20"/>
      <c r="AA80" s="20"/>
      <c r="AB80" s="20"/>
      <c r="AC80" s="20"/>
    </row>
    <row r="81" spans="1:29" s="22" customFormat="1" x14ac:dyDescent="0.25">
      <c r="A81" s="122"/>
      <c r="B81" s="20"/>
      <c r="C81" s="20"/>
      <c r="D81" s="20"/>
      <c r="E81" s="20"/>
      <c r="F81" s="21"/>
      <c r="G81" s="21"/>
      <c r="H81" s="21"/>
      <c r="I81" s="20"/>
      <c r="J81" s="20"/>
      <c r="K81" s="20"/>
      <c r="L81" s="20"/>
      <c r="M81" s="20"/>
      <c r="N81" s="20"/>
      <c r="O81" s="20"/>
      <c r="P81" s="20"/>
      <c r="Q81" s="20"/>
      <c r="R81" s="20"/>
      <c r="S81" s="20"/>
      <c r="T81" s="20"/>
      <c r="U81" s="20"/>
      <c r="V81" s="26">
        <f>U11+U63</f>
        <v>194810000</v>
      </c>
      <c r="W81" s="20"/>
      <c r="X81" s="20"/>
      <c r="Y81" s="20">
        <v>9192690</v>
      </c>
      <c r="Z81" s="26" t="e">
        <f>Z19+#REF!</f>
        <v>#REF!</v>
      </c>
      <c r="AA81" s="20"/>
      <c r="AB81" s="20"/>
      <c r="AC81" s="20"/>
    </row>
    <row r="82" spans="1:29" s="22" customFormat="1" x14ac:dyDescent="0.25">
      <c r="A82" s="122"/>
      <c r="B82" s="20"/>
      <c r="C82" s="20"/>
      <c r="D82" s="20"/>
      <c r="E82" s="20"/>
      <c r="F82" s="21"/>
      <c r="G82" s="21"/>
      <c r="H82" s="21"/>
      <c r="I82" s="20"/>
      <c r="J82" s="20"/>
      <c r="K82" s="20"/>
      <c r="L82" s="20"/>
      <c r="M82" s="20"/>
      <c r="N82" s="20"/>
      <c r="O82" s="20"/>
      <c r="P82" s="20"/>
      <c r="Q82" s="20"/>
      <c r="R82" s="20"/>
      <c r="S82" s="20"/>
      <c r="T82" s="20"/>
      <c r="U82" s="26">
        <f>U11+U63</f>
        <v>194810000</v>
      </c>
      <c r="V82" s="20"/>
      <c r="W82" s="20"/>
      <c r="X82" s="20"/>
      <c r="Y82" s="20">
        <f>SUM(Y80:Y81)</f>
        <v>246090210</v>
      </c>
      <c r="Z82" s="20"/>
      <c r="AA82" s="20"/>
      <c r="AB82" s="20"/>
      <c r="AC82" s="20"/>
    </row>
  </sheetData>
  <autoFilter ref="D1:D78"/>
  <mergeCells count="26">
    <mergeCell ref="A1:AA1"/>
    <mergeCell ref="A2:AA2"/>
    <mergeCell ref="C4:C6"/>
    <mergeCell ref="A4:A6"/>
    <mergeCell ref="B4:B6"/>
    <mergeCell ref="D4:D6"/>
    <mergeCell ref="S4:W4"/>
    <mergeCell ref="X4:AB4"/>
    <mergeCell ref="I5:I6"/>
    <mergeCell ref="J5:P5"/>
    <mergeCell ref="F4:F6"/>
    <mergeCell ref="H4:R4"/>
    <mergeCell ref="H5:H6"/>
    <mergeCell ref="Z5:Z6"/>
    <mergeCell ref="AA5:AA6"/>
    <mergeCell ref="E4:E6"/>
    <mergeCell ref="G4:G6"/>
    <mergeCell ref="AB5:AB6"/>
    <mergeCell ref="V5:V6"/>
    <mergeCell ref="W5:W6"/>
    <mergeCell ref="Q5:R5"/>
    <mergeCell ref="Y5:Y6"/>
    <mergeCell ref="T5:T6"/>
    <mergeCell ref="U5:U6"/>
    <mergeCell ref="S5:S6"/>
    <mergeCell ref="X5:X6"/>
  </mergeCells>
  <pageMargins left="0.49" right="0.3" top="0.4" bottom="0.4" header="0.3" footer="0.3"/>
  <pageSetup paperSize="8"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25" sqref="J25"/>
    </sheetView>
  </sheetViews>
  <sheetFormatPr defaultRowHeight="15.7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7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4"/>
  <sheetViews>
    <sheetView workbookViewId="0">
      <selection activeCell="A4" sqref="A4"/>
    </sheetView>
  </sheetViews>
  <sheetFormatPr defaultRowHeight="15.75" x14ac:dyDescent="0.25"/>
  <cols>
    <col min="2" max="2" width="28.125" customWidth="1"/>
    <col min="3" max="3" width="13.75" style="1" bestFit="1" customWidth="1"/>
    <col min="4" max="5" width="9" style="1"/>
  </cols>
  <sheetData>
    <row r="2" spans="1:5" s="5" customFormat="1" ht="26.25" customHeight="1" x14ac:dyDescent="0.25">
      <c r="A2" s="9" t="s">
        <v>9</v>
      </c>
      <c r="B2" s="9" t="s">
        <v>11</v>
      </c>
      <c r="C2" s="10" t="s">
        <v>12</v>
      </c>
      <c r="D2" s="10"/>
      <c r="E2" s="6"/>
    </row>
    <row r="3" spans="1:5" s="5" customFormat="1" ht="22.5" customHeight="1" x14ac:dyDescent="0.25">
      <c r="A3" s="8">
        <v>46083</v>
      </c>
      <c r="B3" s="4" t="s">
        <v>10</v>
      </c>
      <c r="C3" s="3">
        <v>48966529</v>
      </c>
      <c r="D3" s="3"/>
      <c r="E3" s="6"/>
    </row>
    <row r="4" spans="1:5" s="5" customFormat="1" x14ac:dyDescent="0.25">
      <c r="A4" s="4"/>
      <c r="B4" s="4"/>
      <c r="C4" s="3"/>
      <c r="D4" s="3"/>
      <c r="E4" s="6"/>
    </row>
    <row r="5" spans="1:5" s="5" customFormat="1" x14ac:dyDescent="0.25">
      <c r="A5" s="4"/>
      <c r="B5" s="4"/>
      <c r="C5" s="3"/>
      <c r="D5" s="3"/>
      <c r="E5" s="6"/>
    </row>
    <row r="6" spans="1:5" s="5" customFormat="1" x14ac:dyDescent="0.25">
      <c r="A6" s="4"/>
      <c r="B6" s="4"/>
      <c r="C6" s="3"/>
      <c r="D6" s="3"/>
      <c r="E6" s="6"/>
    </row>
    <row r="7" spans="1:5" s="5" customFormat="1" x14ac:dyDescent="0.25">
      <c r="A7" s="4"/>
      <c r="B7" s="4"/>
      <c r="C7" s="3"/>
      <c r="D7" s="3"/>
      <c r="E7" s="6"/>
    </row>
    <row r="8" spans="1:5" s="5" customFormat="1" x14ac:dyDescent="0.25">
      <c r="A8" s="4"/>
      <c r="B8" s="4"/>
      <c r="C8" s="3"/>
      <c r="D8" s="3"/>
      <c r="E8" s="6"/>
    </row>
    <row r="9" spans="1:5" s="5" customFormat="1" x14ac:dyDescent="0.25">
      <c r="A9" s="4"/>
      <c r="B9" s="4"/>
      <c r="C9" s="3"/>
      <c r="D9" s="3"/>
      <c r="E9" s="6"/>
    </row>
    <row r="10" spans="1:5" s="5" customFormat="1" x14ac:dyDescent="0.25">
      <c r="A10" s="4"/>
      <c r="B10" s="4"/>
      <c r="C10" s="3"/>
      <c r="D10" s="3"/>
      <c r="E10" s="6"/>
    </row>
    <row r="11" spans="1:5" s="5" customFormat="1" x14ac:dyDescent="0.25">
      <c r="A11" s="4"/>
      <c r="B11" s="4"/>
      <c r="C11" s="3"/>
      <c r="D11" s="3"/>
      <c r="E11" s="6"/>
    </row>
    <row r="12" spans="1:5" s="5" customFormat="1" x14ac:dyDescent="0.25">
      <c r="C12" s="6"/>
      <c r="D12" s="6"/>
      <c r="E12" s="6"/>
    </row>
    <row r="13" spans="1:5" s="5" customFormat="1" x14ac:dyDescent="0.25">
      <c r="C13" s="6"/>
      <c r="D13" s="6"/>
      <c r="E13" s="6"/>
    </row>
    <row r="14" spans="1:5" s="5" customFormat="1" x14ac:dyDescent="0.25">
      <c r="C14" s="6"/>
      <c r="D14" s="6"/>
      <c r="E14"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Văn phòng </vt:lpstr>
      <vt:lpstr>to trinh</vt:lpstr>
      <vt:lpstr>công an </vt:lpstr>
      <vt:lpstr>phòng văn hoá</vt:lpstr>
      <vt:lpstr>phòng kinh tế</vt:lpstr>
      <vt:lpstr>1</vt:lpstr>
      <vt:lpstr>2</vt:lpstr>
      <vt:lpst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2026-10-01T08:51:47Z</cp:lastPrinted>
  <dcterms:created xsi:type="dcterms:W3CDTF">2026-03-27T15:02:43Z</dcterms:created>
  <dcterms:modified xsi:type="dcterms:W3CDTF">2026-10-12T06:20:36Z</dcterms:modified>
</cp:coreProperties>
</file>